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codeName="ThisWorkbook" autoCompressPictures="0"/>
  <xr:revisionPtr revIDLastSave="0" documentId="8_{7B02557D-14D6-4441-9EB0-138D8CCDAD59}" xr6:coauthVersionLast="47" xr6:coauthVersionMax="47" xr10:uidLastSave="{00000000-0000-0000-0000-000000000000}"/>
  <workbookProtection workbookAlgorithmName="SHA-512" workbookHashValue="UdHcwUIPoeW31RuWOzg0WyPIrCcigc27oGjEcaCoi5bm4CdNbYrNZy4c3atIkupDsR//nanPhXopI4AnxhH0MQ==" workbookSaltValue="mDi+9NTVnfMeQi6VPlN3dQ==" workbookSpinCount="100000" lockStructure="1"/>
  <bookViews>
    <workbookView xWindow="700" yWindow="690" windowWidth="15270" windowHeight="7060" tabRatio="645" xr2:uid="{00000000-000D-0000-FFFF-FFFF00000000}"/>
  </bookViews>
  <sheets>
    <sheet name="Reseräkning" sheetId="1" r:id="rId1"/>
    <sheet name="Skatteregler mm" sheetId="2" r:id="rId2"/>
    <sheet name="Utlandstraktamenten" sheetId="4" state="hidden" r:id="rId3"/>
    <sheet name="Uträkningar mm" sheetId="3" state="hidden" r:id="rId4"/>
    <sheet name="Uträkning bilersättning" sheetId="6" state="hidden" r:id="rId5"/>
  </sheets>
  <definedNames>
    <definedName name="_xlnm._FilterDatabase" localSheetId="0" hidden="1">Reseräkning!$B$3:$D$6</definedName>
    <definedName name="Albanien" localSheetId="2">Utlandstraktamenten!$B$6:$B$153</definedName>
    <definedName name="Land">Utlandstraktamenten!$B$5:$B$151</definedName>
    <definedName name="tal">Reseräkning!$B$3:$C$5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  <c r="I65" i="3" l="1"/>
  <c r="I64" i="3"/>
  <c r="I63" i="3"/>
  <c r="I60" i="3"/>
  <c r="I59" i="3"/>
  <c r="I58" i="3"/>
  <c r="I55" i="3"/>
  <c r="I54" i="3"/>
  <c r="I53" i="3"/>
  <c r="I50" i="3"/>
  <c r="I49" i="3"/>
  <c r="I48" i="3"/>
  <c r="I45" i="3"/>
  <c r="I44" i="3"/>
  <c r="I43" i="3"/>
  <c r="I40" i="3"/>
  <c r="I39" i="3"/>
  <c r="I38" i="3"/>
  <c r="I35" i="3"/>
  <c r="I34" i="3"/>
  <c r="I33" i="3"/>
  <c r="I30" i="3"/>
  <c r="I29" i="3"/>
  <c r="I28" i="3"/>
  <c r="I23" i="3"/>
  <c r="I24" i="3"/>
  <c r="I25" i="3"/>
  <c r="I61" i="3" l="1"/>
  <c r="I66" i="3"/>
  <c r="I41" i="3"/>
  <c r="I51" i="3"/>
  <c r="I56" i="3"/>
  <c r="I31" i="3"/>
  <c r="I46" i="3"/>
  <c r="I26" i="3"/>
  <c r="I36" i="3"/>
  <c r="D90" i="1"/>
  <c r="F18" i="1" l="1"/>
  <c r="I14" i="3" s="1"/>
  <c r="G5" i="1"/>
  <c r="K6" i="3" s="1"/>
  <c r="O26" i="3" l="1"/>
  <c r="C93" i="1"/>
  <c r="B3" i="6" s="1"/>
  <c r="C4" i="6" s="1"/>
  <c r="E93" i="1" s="1"/>
  <c r="C5" i="6" l="1"/>
  <c r="E94" i="1" s="1"/>
  <c r="B4" i="6"/>
  <c r="D93" i="1" s="1"/>
  <c r="F109" i="1" l="1"/>
  <c r="B5" i="6"/>
  <c r="D94" i="1" s="1"/>
  <c r="R27" i="3"/>
  <c r="R26" i="3"/>
  <c r="R28" i="3"/>
  <c r="S27" i="3"/>
  <c r="T27" i="3" s="1"/>
  <c r="S26" i="3"/>
  <c r="O35" i="3" s="1"/>
  <c r="R29" i="3"/>
  <c r="S29" i="3"/>
  <c r="T29" i="3" s="1"/>
  <c r="S28" i="3"/>
  <c r="T28" i="3" s="1"/>
  <c r="R30" i="3"/>
  <c r="R31" i="3"/>
  <c r="S31" i="3"/>
  <c r="T31" i="3" s="1"/>
  <c r="S30" i="3"/>
  <c r="T30" i="3" s="1"/>
  <c r="P31" i="3"/>
  <c r="P37" i="3" s="1"/>
  <c r="D45" i="1"/>
  <c r="D47" i="1"/>
  <c r="D68" i="1"/>
  <c r="D72" i="1"/>
  <c r="D73" i="1"/>
  <c r="D74" i="1"/>
  <c r="D78" i="1"/>
  <c r="D79" i="1"/>
  <c r="D80" i="1"/>
  <c r="D84" i="1"/>
  <c r="D85" i="1"/>
  <c r="D86" i="1"/>
  <c r="D111" i="1"/>
  <c r="D15" i="3"/>
  <c r="E27" i="1"/>
  <c r="E28" i="1"/>
  <c r="E29" i="1"/>
  <c r="D18" i="2"/>
  <c r="F17" i="3"/>
  <c r="F11" i="3"/>
  <c r="E12" i="1"/>
  <c r="B4" i="3"/>
  <c r="D4" i="3"/>
  <c r="K4" i="3"/>
  <c r="D7" i="3"/>
  <c r="F7" i="3" s="1"/>
  <c r="D10" i="3"/>
  <c r="F16" i="3" s="1"/>
  <c r="E11" i="3"/>
  <c r="D12" i="3"/>
  <c r="I15" i="3" s="1"/>
  <c r="D16" i="3"/>
  <c r="D18" i="3"/>
  <c r="E18" i="3" s="1"/>
  <c r="G23" i="3"/>
  <c r="G24" i="3"/>
  <c r="G25" i="3"/>
  <c r="G28" i="3"/>
  <c r="O28" i="3"/>
  <c r="G29" i="3"/>
  <c r="G30" i="3"/>
  <c r="G33" i="3"/>
  <c r="G34" i="3"/>
  <c r="G35" i="3"/>
  <c r="G38" i="3"/>
  <c r="G39" i="3"/>
  <c r="G40" i="3"/>
  <c r="G43" i="3"/>
  <c r="G44" i="3"/>
  <c r="G45" i="3"/>
  <c r="G48" i="3"/>
  <c r="G49" i="3"/>
  <c r="G50" i="3"/>
  <c r="G53" i="3"/>
  <c r="G54" i="3"/>
  <c r="G55" i="3"/>
  <c r="G58" i="3"/>
  <c r="G59" i="3"/>
  <c r="G60" i="3"/>
  <c r="G63" i="3"/>
  <c r="G64" i="3"/>
  <c r="G65" i="3"/>
  <c r="E7" i="2"/>
  <c r="G12" i="1"/>
  <c r="B14" i="1"/>
  <c r="B18" i="1"/>
  <c r="B21" i="1"/>
  <c r="E33" i="1"/>
  <c r="E34" i="1"/>
  <c r="E35" i="1"/>
  <c r="E39" i="1"/>
  <c r="E40" i="1"/>
  <c r="E41" i="1"/>
  <c r="E45" i="1"/>
  <c r="E46" i="1"/>
  <c r="E47" i="1"/>
  <c r="E51" i="1"/>
  <c r="E52" i="1"/>
  <c r="E53" i="1"/>
  <c r="E66" i="1"/>
  <c r="E67" i="1"/>
  <c r="E68" i="1"/>
  <c r="E72" i="1"/>
  <c r="E73" i="1"/>
  <c r="E74" i="1"/>
  <c r="E78" i="1"/>
  <c r="E79" i="1"/>
  <c r="E80" i="1"/>
  <c r="E84" i="1"/>
  <c r="E85" i="1"/>
  <c r="E86" i="1"/>
  <c r="O14" i="3"/>
  <c r="O9" i="3"/>
  <c r="O15" i="3"/>
  <c r="O12" i="3"/>
  <c r="O16" i="3"/>
  <c r="O13" i="3"/>
  <c r="O10" i="3"/>
  <c r="O8" i="3"/>
  <c r="O17" i="3" s="1"/>
  <c r="O11" i="3"/>
  <c r="O83" i="3" l="1"/>
  <c r="O71" i="3"/>
  <c r="O77" i="3"/>
  <c r="O59" i="3"/>
  <c r="O65" i="3"/>
  <c r="O47" i="3"/>
  <c r="O53" i="3"/>
  <c r="O41" i="3"/>
  <c r="B63" i="3"/>
  <c r="B43" i="3"/>
  <c r="B23" i="3"/>
  <c r="B58" i="3"/>
  <c r="B38" i="3"/>
  <c r="B53" i="3"/>
  <c r="B33" i="3"/>
  <c r="B48" i="3"/>
  <c r="B28" i="3"/>
  <c r="E69" i="1"/>
  <c r="B26" i="1"/>
  <c r="P17" i="3"/>
  <c r="E48" i="1"/>
  <c r="P9" i="3"/>
  <c r="J11" i="3"/>
  <c r="E87" i="1"/>
  <c r="E36" i="1"/>
  <c r="V28" i="3"/>
  <c r="O33" i="3" s="1"/>
  <c r="P61" i="3"/>
  <c r="P49" i="3"/>
  <c r="P67" i="3"/>
  <c r="P55" i="3"/>
  <c r="P73" i="3"/>
  <c r="P79" i="3"/>
  <c r="P43" i="3"/>
  <c r="E12" i="3"/>
  <c r="I12" i="3" s="1"/>
  <c r="N26" i="3"/>
  <c r="F10" i="3"/>
  <c r="J8" i="3" s="1"/>
  <c r="F18" i="3"/>
  <c r="F12" i="3"/>
  <c r="J12" i="3" s="1"/>
  <c r="E17" i="3"/>
  <c r="E8" i="2"/>
  <c r="E18" i="2" s="1"/>
  <c r="D91" i="1" s="1"/>
  <c r="E16" i="3"/>
  <c r="I7" i="3"/>
  <c r="I11" i="3"/>
  <c r="I8" i="3"/>
  <c r="J7" i="3"/>
  <c r="P11" i="3"/>
  <c r="E10" i="3"/>
  <c r="I10" i="3" s="1"/>
  <c r="P16" i="3"/>
  <c r="P15" i="3"/>
  <c r="E75" i="1"/>
  <c r="P10" i="3"/>
  <c r="P8" i="3"/>
  <c r="T26" i="3"/>
  <c r="V27" i="3" s="1"/>
  <c r="E54" i="1"/>
  <c r="E81" i="1"/>
  <c r="P14" i="3"/>
  <c r="P13" i="3"/>
  <c r="E42" i="1"/>
  <c r="P12" i="3"/>
  <c r="E57" i="1" s="1"/>
  <c r="E30" i="1"/>
  <c r="O70" i="3"/>
  <c r="O40" i="3"/>
  <c r="O64" i="3"/>
  <c r="O52" i="3"/>
  <c r="O82" i="3"/>
  <c r="O46" i="3"/>
  <c r="O58" i="3"/>
  <c r="O76" i="3"/>
  <c r="V30" i="3"/>
  <c r="O39" i="3" s="1"/>
  <c r="U29" i="3"/>
  <c r="V31" i="3"/>
  <c r="O38" i="3" s="1"/>
  <c r="O34" i="3"/>
  <c r="J30" i="3" l="1"/>
  <c r="J25" i="3"/>
  <c r="O74" i="3"/>
  <c r="O68" i="3"/>
  <c r="O63" i="3"/>
  <c r="O57" i="3"/>
  <c r="O69" i="3"/>
  <c r="U27" i="3"/>
  <c r="O32" i="3" s="1"/>
  <c r="O56" i="3"/>
  <c r="O45" i="3"/>
  <c r="O75" i="3"/>
  <c r="O62" i="3"/>
  <c r="I9" i="3"/>
  <c r="O80" i="3"/>
  <c r="O81" i="3"/>
  <c r="J10" i="3"/>
  <c r="O51" i="3"/>
  <c r="O50" i="3"/>
  <c r="J9" i="3"/>
  <c r="C33" i="3" s="1"/>
  <c r="O44" i="3"/>
  <c r="J44" i="3"/>
  <c r="J45" i="3"/>
  <c r="J29" i="3"/>
  <c r="J53" i="3"/>
  <c r="J28" i="3"/>
  <c r="J33" i="3"/>
  <c r="J34" i="3"/>
  <c r="J39" i="3"/>
  <c r="J50" i="3"/>
  <c r="J49" i="3"/>
  <c r="J24" i="3"/>
  <c r="J38" i="3"/>
  <c r="J55" i="3"/>
  <c r="J40" i="3"/>
  <c r="J60" i="3"/>
  <c r="J48" i="3"/>
  <c r="J58" i="3"/>
  <c r="J63" i="3"/>
  <c r="J23" i="3"/>
  <c r="J35" i="3"/>
  <c r="J54" i="3"/>
  <c r="J43" i="3"/>
  <c r="J59" i="3"/>
  <c r="J65" i="3"/>
  <c r="F32" i="2"/>
  <c r="F33" i="2"/>
  <c r="F37" i="2"/>
  <c r="F36" i="2"/>
  <c r="F39" i="2"/>
  <c r="F31" i="2"/>
  <c r="F38" i="2"/>
  <c r="F30" i="2"/>
  <c r="J64" i="3"/>
  <c r="C64" i="3"/>
  <c r="C65" i="3" s="1"/>
  <c r="C44" i="3"/>
  <c r="C29" i="3"/>
  <c r="C49" i="3"/>
  <c r="C54" i="3"/>
  <c r="C55" i="3" s="1"/>
  <c r="C24" i="3"/>
  <c r="C59" i="3"/>
  <c r="C60" i="3" s="1"/>
  <c r="C39" i="3"/>
  <c r="C34" i="3"/>
  <c r="Q17" i="3"/>
  <c r="E89" i="1" s="1"/>
  <c r="E62" i="1" s="1"/>
  <c r="U28" i="3"/>
  <c r="U30" i="3"/>
  <c r="U31" i="3"/>
  <c r="C35" i="3" l="1"/>
  <c r="E109" i="1"/>
  <c r="C48" i="3"/>
  <c r="C50" i="3" s="1"/>
  <c r="C43" i="3"/>
  <c r="C45" i="3" s="1"/>
  <c r="C63" i="3"/>
  <c r="C38" i="3"/>
  <c r="C40" i="3" s="1"/>
  <c r="C23" i="3"/>
  <c r="C25" i="3" s="1"/>
  <c r="C58" i="3"/>
  <c r="C53" i="3"/>
  <c r="C28" i="3"/>
  <c r="C30" i="3" s="1"/>
  <c r="U32" i="3"/>
  <c r="O55" i="3" s="1"/>
  <c r="D46" i="3" l="1"/>
  <c r="B45" i="3"/>
  <c r="B50" i="1"/>
  <c r="O43" i="3"/>
  <c r="B35" i="3" s="1"/>
  <c r="O37" i="3"/>
  <c r="B30" i="3" s="1"/>
  <c r="O31" i="3"/>
  <c r="D26" i="3" s="1"/>
  <c r="O73" i="3"/>
  <c r="B60" i="3" s="1"/>
  <c r="O49" i="3"/>
  <c r="B40" i="3" s="1"/>
  <c r="O79" i="3"/>
  <c r="B65" i="3" s="1"/>
  <c r="O61" i="3"/>
  <c r="B50" i="3" s="1"/>
  <c r="O67" i="3"/>
  <c r="B55" i="3" s="1"/>
  <c r="F43" i="3"/>
  <c r="F44" i="3"/>
  <c r="C47" i="3"/>
  <c r="E43" i="3"/>
  <c r="D51" i="1" s="1"/>
  <c r="E44" i="3"/>
  <c r="D52" i="1" s="1"/>
  <c r="K11" i="3"/>
  <c r="B46" i="3" s="1"/>
  <c r="F45" i="3"/>
  <c r="E45" i="3"/>
  <c r="D53" i="1" s="1"/>
  <c r="D66" i="3" l="1"/>
  <c r="E66" i="3" s="1"/>
  <c r="E67" i="3" s="1"/>
  <c r="D61" i="3"/>
  <c r="E61" i="3" s="1"/>
  <c r="E62" i="3" s="1"/>
  <c r="D56" i="3"/>
  <c r="E56" i="3" s="1"/>
  <c r="E57" i="3" s="1"/>
  <c r="D51" i="3"/>
  <c r="E51" i="3" s="1"/>
  <c r="E52" i="3" s="1"/>
  <c r="D41" i="3"/>
  <c r="E41" i="3" s="1"/>
  <c r="E42" i="3" s="1"/>
  <c r="D36" i="3"/>
  <c r="E36" i="3" s="1"/>
  <c r="E37" i="3" s="1"/>
  <c r="D31" i="3"/>
  <c r="E31" i="3" s="1"/>
  <c r="E32" i="3" s="1"/>
  <c r="E46" i="3"/>
  <c r="E47" i="3" s="1"/>
  <c r="B25" i="3"/>
  <c r="B47" i="3"/>
  <c r="K7" i="3"/>
  <c r="B26" i="3" s="1"/>
  <c r="E54" i="3"/>
  <c r="B71" i="1"/>
  <c r="B65" i="1"/>
  <c r="E60" i="3"/>
  <c r="B77" i="1"/>
  <c r="C67" i="3"/>
  <c r="B83" i="1"/>
  <c r="F30" i="3"/>
  <c r="B32" i="1"/>
  <c r="B44" i="1"/>
  <c r="E33" i="3"/>
  <c r="D39" i="1" s="1"/>
  <c r="B38" i="1"/>
  <c r="K10" i="3"/>
  <c r="B41" i="3" s="1"/>
  <c r="B42" i="3" s="1"/>
  <c r="E34" i="3"/>
  <c r="D40" i="1" s="1"/>
  <c r="K9" i="3"/>
  <c r="B36" i="3" s="1"/>
  <c r="B37" i="3" s="1"/>
  <c r="F34" i="3"/>
  <c r="E28" i="3"/>
  <c r="D33" i="1" s="1"/>
  <c r="F25" i="3"/>
  <c r="F23" i="3"/>
  <c r="F35" i="3"/>
  <c r="E35" i="3"/>
  <c r="D41" i="1" s="1"/>
  <c r="E23" i="3"/>
  <c r="D27" i="1" s="1"/>
  <c r="F33" i="3"/>
  <c r="F48" i="3"/>
  <c r="E25" i="3"/>
  <c r="D29" i="1" s="1"/>
  <c r="C37" i="3"/>
  <c r="F39" i="3"/>
  <c r="E59" i="3"/>
  <c r="C27" i="3"/>
  <c r="E24" i="3"/>
  <c r="D28" i="1" s="1"/>
  <c r="F24" i="3"/>
  <c r="F63" i="3"/>
  <c r="K8" i="3"/>
  <c r="B31" i="3" s="1"/>
  <c r="B32" i="3" s="1"/>
  <c r="D32" i="1" s="1"/>
  <c r="C32" i="3"/>
  <c r="E30" i="3"/>
  <c r="D35" i="1" s="1"/>
  <c r="F29" i="3"/>
  <c r="F28" i="3"/>
  <c r="F60" i="3"/>
  <c r="E29" i="3"/>
  <c r="D34" i="1" s="1"/>
  <c r="F64" i="3"/>
  <c r="F59" i="3"/>
  <c r="C57" i="3"/>
  <c r="E58" i="3"/>
  <c r="K14" i="3"/>
  <c r="B61" i="3" s="1"/>
  <c r="B62" i="3" s="1"/>
  <c r="F58" i="3"/>
  <c r="C62" i="3"/>
  <c r="F55" i="3"/>
  <c r="C52" i="3"/>
  <c r="E55" i="3"/>
  <c r="E40" i="3"/>
  <c r="F53" i="3"/>
  <c r="C42" i="3"/>
  <c r="F54" i="3"/>
  <c r="K13" i="3"/>
  <c r="B56" i="3" s="1"/>
  <c r="B57" i="3" s="1"/>
  <c r="E39" i="3"/>
  <c r="D46" i="1" s="1"/>
  <c r="E48" i="3"/>
  <c r="D66" i="1" s="1"/>
  <c r="E50" i="3"/>
  <c r="F49" i="3"/>
  <c r="E65" i="3"/>
  <c r="K12" i="3"/>
  <c r="B51" i="3" s="1"/>
  <c r="B52" i="3" s="1"/>
  <c r="F50" i="3"/>
  <c r="E49" i="3"/>
  <c r="D67" i="1" s="1"/>
  <c r="F65" i="3"/>
  <c r="K15" i="3"/>
  <c r="B66" i="3" s="1"/>
  <c r="B67" i="3" s="1"/>
  <c r="E64" i="3"/>
  <c r="E38" i="3"/>
  <c r="F40" i="3"/>
  <c r="E53" i="3"/>
  <c r="E63" i="3"/>
  <c r="F38" i="3"/>
  <c r="G62" i="3" l="1"/>
  <c r="G57" i="3"/>
  <c r="B27" i="3"/>
  <c r="I17" i="3" s="1"/>
  <c r="G37" i="3"/>
  <c r="D83" i="1"/>
  <c r="G67" i="3"/>
  <c r="D77" i="1"/>
  <c r="D71" i="1"/>
  <c r="D65" i="1"/>
  <c r="G52" i="3"/>
  <c r="D50" i="1"/>
  <c r="N12" i="3" s="1"/>
  <c r="G47" i="3"/>
  <c r="D44" i="1"/>
  <c r="G42" i="3"/>
  <c r="D38" i="1"/>
  <c r="G32" i="3"/>
  <c r="E26" i="3"/>
  <c r="E27" i="3" s="1"/>
  <c r="U39" i="3" l="1"/>
  <c r="F21" i="1" s="1"/>
  <c r="D26" i="1"/>
  <c r="D75" i="1"/>
  <c r="D81" i="1"/>
  <c r="G27" i="3"/>
  <c r="D69" i="1"/>
  <c r="D87" i="1"/>
  <c r="N16" i="3"/>
  <c r="D54" i="1"/>
  <c r="D48" i="1"/>
  <c r="N11" i="3"/>
  <c r="N10" i="3"/>
  <c r="D42" i="1"/>
  <c r="D36" i="1"/>
  <c r="N13" i="3"/>
  <c r="N15" i="3"/>
  <c r="N14" i="3"/>
  <c r="N9" i="3"/>
  <c r="U38" i="3"/>
  <c r="F20" i="1" s="1"/>
  <c r="N8" i="3" l="1"/>
  <c r="N17" i="3" s="1"/>
  <c r="D30" i="1"/>
  <c r="D57" i="1" s="1"/>
  <c r="D62" i="1" s="1"/>
  <c r="D89" i="1" l="1"/>
  <c r="D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D9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Ange datum enligt: åååå-mm-dd
</t>
        </r>
      </text>
    </comment>
    <comment ref="E9" authorId="0" shapeId="0" xr:uid="{00000000-0006-0000-0000-000002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F9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Ange dag enligt: åååå-mm-dd
Automatiskt anges samma som avresedagen. Skriv över om avresa från sverige sker på annan dag
</t>
        </r>
      </text>
    </comment>
    <comment ref="G9" authorId="0" shapeId="0" xr:uid="{00000000-0006-0000-0000-000004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D13" authorId="0" shapeId="0" xr:uid="{00000000-0006-0000-0000-000005000000}">
      <text>
        <r>
          <rPr>
            <sz val="8"/>
            <color indexed="81"/>
            <rFont val="Tahoma"/>
            <family val="2"/>
          </rPr>
          <t>Ange datum enligt: åååå-mm-dd
Automatiskt anges avresedagen ovan skriv över om hemkomst sker på annan dag.</t>
        </r>
      </text>
    </comment>
    <comment ref="E13" authorId="0" shapeId="0" xr:uid="{00000000-0006-0000-0000-000006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F13" authorId="0" shapeId="0" xr:uid="{00000000-0006-0000-0000-000007000000}">
      <text>
        <r>
          <rPr>
            <sz val="8"/>
            <color indexed="81"/>
            <rFont val="Tahoma"/>
            <family val="2"/>
          </rPr>
          <t>Ange dag enligt: åååå-mm-dd</t>
        </r>
      </text>
    </comment>
    <comment ref="G13" authorId="0" shapeId="0" xr:uid="{00000000-0006-0000-0000-000008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D17" authorId="0" shapeId="0" xr:uid="{00000000-0006-0000-0000-000009000000}">
      <text>
        <r>
          <rPr>
            <sz val="8"/>
            <color indexed="81"/>
            <rFont val="Tahoma"/>
            <family val="2"/>
          </rPr>
          <t>Ange datum enligt: åååå-mm-dd
Automatiskt anges avgångsdagen ovan skriv över om hemkomst sker på annan dag</t>
        </r>
      </text>
    </comment>
    <comment ref="E17" authorId="0" shapeId="0" xr:uid="{00000000-0006-0000-0000-00000A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F17" authorId="0" shapeId="0" xr:uid="{00000000-0006-0000-0000-00000B000000}">
      <text>
        <r>
          <rPr>
            <sz val="8"/>
            <color indexed="81"/>
            <rFont val="Tahoma"/>
            <family val="2"/>
          </rPr>
          <t>Ange datum enligt: åååå-mm-dd
Automatiskt anges avgångsdagen ovan skriv över om hemkomst sker på annan dag</t>
        </r>
      </text>
    </comment>
    <comment ref="G17" authorId="0" shapeId="0" xr:uid="{00000000-0006-0000-0000-00000C000000}">
      <text>
        <r>
          <rPr>
            <sz val="8"/>
            <color indexed="81"/>
            <rFont val="Tahoma"/>
            <family val="2"/>
          </rPr>
          <t>Ange klockslag enligt: tt:mm</t>
        </r>
      </text>
    </comment>
    <comment ref="D25" authorId="0" shapeId="0" xr:uid="{00000000-0006-0000-0000-00000D000000}">
      <text>
        <r>
          <rPr>
            <sz val="8"/>
            <color indexed="81"/>
            <rFont val="Tahoma"/>
            <family val="2"/>
          </rPr>
          <t>Automatisk uträkning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00000000-0006-0000-0000-00000E000000}">
      <text>
        <r>
          <rPr>
            <sz val="8"/>
            <color indexed="81"/>
            <rFont val="Tahoma"/>
            <family val="2"/>
          </rPr>
          <t>Automatisk uträkning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6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Traktamente och resetillägg
</t>
        </r>
        <r>
          <rPr>
            <sz val="8"/>
            <color indexed="81"/>
            <rFont val="Tahoma"/>
            <family val="2"/>
          </rPr>
          <t>Traktamente och resetillägg räknas ut på grundval av uppgiven avresa och återkomst. Både dag och klockslag måste anges.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Om arbetsgivaren betalar måltid minskas traktamente och resetillägg. Sätt bock i rutan för respektive måltid om arbetsgivaren betalat måltiden. 
Kostförmån beskattas inte om  det inte särskilt anges att den är skattepliktig. Sätt bock i rutan för respektive måltid under "Skattepliktig kostförmån" om denna ska beskattas.
Uträkningar sker automatiskt.</t>
        </r>
      </text>
    </comment>
    <comment ref="F26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Skattepliktiga måltider:</t>
        </r>
        <r>
          <rPr>
            <sz val="8"/>
            <color indexed="81"/>
            <rFont val="Tahoma"/>
            <family val="2"/>
          </rPr>
          <t xml:space="preserve">
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F32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F38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F44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F50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D61" authorId="0" shapeId="0" xr:uid="{00000000-0006-0000-0000-000015000000}">
      <text>
        <r>
          <rPr>
            <sz val="8"/>
            <color indexed="81"/>
            <rFont val="Tahoma"/>
            <family val="2"/>
          </rPr>
          <t>Automatisk uträkning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1" authorId="0" shapeId="0" xr:uid="{00000000-0006-0000-0000-000016000000}">
      <text>
        <r>
          <rPr>
            <sz val="8"/>
            <color indexed="81"/>
            <rFont val="Tahoma"/>
            <family val="2"/>
          </rPr>
          <t>Automatisk uträkning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5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</t>
        </r>
        <r>
          <rPr>
            <sz val="8"/>
            <color indexed="81"/>
            <rFont val="Tahoma"/>
            <family val="2"/>
          </rPr>
          <t xml:space="preserve">
obligatoriska måltider på flyg, tåg och hotell är skattefria. 
Övriga av arbetsgivaren betalda måltider är skattepliktig kostförmån.
Markera rutan vid skattepliktig måltid.</t>
        </r>
      </text>
    </comment>
    <comment ref="F71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F77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 
obligatoriska måltider på flyg, tåg och hotell är skattefria. 
Övriga av arbetsgivaren betalda måltider är skattepliktig kostförmån.
Markera rutan vid skattepliktig måltid.</t>
        </r>
      </text>
    </comment>
    <comment ref="F83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 xml:space="preserve">Skattepliktiga måltider:
</t>
        </r>
        <r>
          <rPr>
            <sz val="8"/>
            <color indexed="81"/>
            <rFont val="Tahoma"/>
            <family val="2"/>
          </rPr>
          <t>Intern och extern representation samt
obligatoriska måltider på flyg, tåg och hotell är skattefria. 
Övriga av arbetsgivaren betalda måltider är skattepliktig kostförmån.
Markera rutan vid skattepliktig måltid.</t>
        </r>
      </text>
    </comment>
    <comment ref="D9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Draftit:
</t>
        </r>
        <r>
          <rPr>
            <sz val="9"/>
            <color indexed="81"/>
            <rFont val="Tahoma"/>
            <family val="2"/>
          </rPr>
          <t xml:space="preserve">Skattefri milersättning
</t>
        </r>
      </text>
    </comment>
    <comment ref="E9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Draftit:
</t>
        </r>
        <r>
          <rPr>
            <sz val="9"/>
            <color indexed="81"/>
            <rFont val="Tahoma"/>
            <family val="2"/>
          </rPr>
          <t xml:space="preserve">Skattepliktig milersättning
</t>
        </r>
      </text>
    </comment>
  </commentList>
</comments>
</file>

<file path=xl/sharedStrings.xml><?xml version="1.0" encoding="utf-8"?>
<sst xmlns="http://schemas.openxmlformats.org/spreadsheetml/2006/main" count="487" uniqueCount="325">
  <si>
    <t>Dag</t>
  </si>
  <si>
    <t>Klockan</t>
  </si>
  <si>
    <t>Dag 1</t>
  </si>
  <si>
    <t>Dag 2</t>
  </si>
  <si>
    <t>Dag 3</t>
  </si>
  <si>
    <t>Dag 4</t>
  </si>
  <si>
    <t>Dag 5</t>
  </si>
  <si>
    <t>Antal dagar</t>
  </si>
  <si>
    <t>Antal timmar</t>
  </si>
  <si>
    <t>Hel dag</t>
  </si>
  <si>
    <t>Traktamente</t>
  </si>
  <si>
    <t>Resetillägg</t>
  </si>
  <si>
    <t>Avresedagen</t>
  </si>
  <si>
    <t>Hemkomstdag</t>
  </si>
  <si>
    <t>a) avresa före</t>
  </si>
  <si>
    <t>b) avresa efter</t>
  </si>
  <si>
    <t>a) hemkomst före</t>
  </si>
  <si>
    <t>b) hemkomst efter</t>
  </si>
  <si>
    <t>Reducering av traktamente</t>
  </si>
  <si>
    <t>Mom 1:1</t>
  </si>
  <si>
    <t>Mom 1:2</t>
  </si>
  <si>
    <t>Mom 1:3</t>
  </si>
  <si>
    <t>Mom 1:4</t>
  </si>
  <si>
    <t>Vid mom 1:1, 1:2 a) och 1:3 b)</t>
  </si>
  <si>
    <t>frukost, lunch och middag</t>
  </si>
  <si>
    <t>lunch och middag</t>
  </si>
  <si>
    <t>lunch eller middag</t>
  </si>
  <si>
    <t>frukost</t>
  </si>
  <si>
    <t>Vid Mom 1:2 b) och 1:3 a)</t>
  </si>
  <si>
    <t>Tjänsteresa utan övernattning</t>
  </si>
  <si>
    <t>Mer än 10 timmar</t>
  </si>
  <si>
    <t>lunch</t>
  </si>
  <si>
    <t>middag</t>
  </si>
  <si>
    <t>Milersättning</t>
  </si>
  <si>
    <t>Grundersättning</t>
  </si>
  <si>
    <t>Nattraktamente</t>
  </si>
  <si>
    <t>Vid tjänsteresa utan övernattning</t>
  </si>
  <si>
    <t>(dock högst resetillägget)</t>
  </si>
  <si>
    <t>Tjänsteresa mindre än tre månader</t>
  </si>
  <si>
    <t>Summa</t>
  </si>
  <si>
    <t>Endagstrakt</t>
  </si>
  <si>
    <t>mer än 4 mindre än 10 timmar</t>
  </si>
  <si>
    <t>Hemresedagen</t>
  </si>
  <si>
    <t>Uträkning flera dagar</t>
  </si>
  <si>
    <t>Endag</t>
  </si>
  <si>
    <t>Två dag</t>
  </si>
  <si>
    <t>Tre dagar</t>
  </si>
  <si>
    <t>Bilersättning</t>
  </si>
  <si>
    <t>Övrigt</t>
  </si>
  <si>
    <t>Totalsumma</t>
  </si>
  <si>
    <t>Trakt</t>
  </si>
  <si>
    <t>Resetill.</t>
  </si>
  <si>
    <t>Trakt.</t>
  </si>
  <si>
    <t>Måltidsavdrag</t>
  </si>
  <si>
    <t>Bil</t>
  </si>
  <si>
    <t>Kostförmån</t>
  </si>
  <si>
    <t>Frukost</t>
  </si>
  <si>
    <t>Lunch</t>
  </si>
  <si>
    <t>Middag</t>
  </si>
  <si>
    <t>Personnummer</t>
  </si>
  <si>
    <t>Summeringar</t>
  </si>
  <si>
    <t>Kostförm¨n</t>
  </si>
  <si>
    <t>Datum</t>
  </si>
  <si>
    <t>Attest:</t>
  </si>
  <si>
    <t>Helt fri kost</t>
  </si>
  <si>
    <t>Denna sida innehåller uträkningar och grunduppgifter som behövs</t>
  </si>
  <si>
    <t>Ändra inga uppgifter om du inte vet exakt vad du gör.</t>
  </si>
  <si>
    <t>för uträkningar på reseräkningsblanketten.</t>
  </si>
  <si>
    <t>Vissa uppgifter som behandlats på denna sida görs enbart för att förbättra utseendet på förstasidan.</t>
  </si>
  <si>
    <t>Skattepliktigt mål</t>
  </si>
  <si>
    <t>Betald måltid</t>
  </si>
  <si>
    <t>Antal körda km</t>
  </si>
  <si>
    <t>Kontonummer</t>
  </si>
  <si>
    <t>Namn</t>
  </si>
  <si>
    <t>Tjänsteresa till</t>
  </si>
  <si>
    <t>Ärende</t>
  </si>
  <si>
    <t>SEK</t>
  </si>
  <si>
    <t>Land</t>
  </si>
  <si>
    <t>Algeriet</t>
  </si>
  <si>
    <t>Argentina</t>
  </si>
  <si>
    <t>Australien</t>
  </si>
  <si>
    <t>Azerbajdzjan</t>
  </si>
  <si>
    <t>Bahamas</t>
  </si>
  <si>
    <t>Bahrain</t>
  </si>
  <si>
    <t>Bangladesh</t>
  </si>
  <si>
    <t>Belgien</t>
  </si>
  <si>
    <t>Bolivia</t>
  </si>
  <si>
    <t>Botswana</t>
  </si>
  <si>
    <t>Brasilien</t>
  </si>
  <si>
    <t>Bulgarien</t>
  </si>
  <si>
    <t>Chile</t>
  </si>
  <si>
    <t>Colombia</t>
  </si>
  <si>
    <t>Costa Rica</t>
  </si>
  <si>
    <t>Cypern</t>
  </si>
  <si>
    <t>Danmark</t>
  </si>
  <si>
    <t>Ecuador</t>
  </si>
  <si>
    <t>Egypten</t>
  </si>
  <si>
    <t>Estland</t>
  </si>
  <si>
    <t>Filippinerna</t>
  </si>
  <si>
    <t>Finland</t>
  </si>
  <si>
    <t>Frankrike</t>
  </si>
  <si>
    <t>Georgien</t>
  </si>
  <si>
    <t>Grekland</t>
  </si>
  <si>
    <t>Grenada</t>
  </si>
  <si>
    <t>Guyana</t>
  </si>
  <si>
    <t>Haiti</t>
  </si>
  <si>
    <t>Honduras</t>
  </si>
  <si>
    <t>Kina</t>
  </si>
  <si>
    <t>Indien</t>
  </si>
  <si>
    <t>Indonesien</t>
  </si>
  <si>
    <t>Irland</t>
  </si>
  <si>
    <t>Island</t>
  </si>
  <si>
    <t>Israel</t>
  </si>
  <si>
    <t>Italien</t>
  </si>
  <si>
    <t>Jamaica</t>
  </si>
  <si>
    <t>Japan</t>
  </si>
  <si>
    <t>Jordanien</t>
  </si>
  <si>
    <t>Kenya</t>
  </si>
  <si>
    <t>Kroatien</t>
  </si>
  <si>
    <t>Kuba</t>
  </si>
  <si>
    <t>Kuwait</t>
  </si>
  <si>
    <t>Laos</t>
  </si>
  <si>
    <t>Lettland</t>
  </si>
  <si>
    <t>Malaysia</t>
  </si>
  <si>
    <t>Malta</t>
  </si>
  <si>
    <t>Marocko</t>
  </si>
  <si>
    <t>Moldavien</t>
  </si>
  <si>
    <t>Monaco</t>
  </si>
  <si>
    <t>Nederländerna</t>
  </si>
  <si>
    <t>Nepal</t>
  </si>
  <si>
    <t>Nigeria</t>
  </si>
  <si>
    <t>Norge</t>
  </si>
  <si>
    <t>Pakistan</t>
  </si>
  <si>
    <t>Panama</t>
  </si>
  <si>
    <t>Paraguay</t>
  </si>
  <si>
    <t>Polen</t>
  </si>
  <si>
    <t>Rumänien</t>
  </si>
  <si>
    <t>Ryssland</t>
  </si>
  <si>
    <t>Saudiarabien</t>
  </si>
  <si>
    <t>Schweiz</t>
  </si>
  <si>
    <t>Senegal</t>
  </si>
  <si>
    <t>Singapore</t>
  </si>
  <si>
    <t>Slovakien</t>
  </si>
  <si>
    <t>Slovenien</t>
  </si>
  <si>
    <t>Sri Lanka</t>
  </si>
  <si>
    <t>Swaziland</t>
  </si>
  <si>
    <t>Sydafrika</t>
  </si>
  <si>
    <t>Sydkorea</t>
  </si>
  <si>
    <t>Tanzania</t>
  </si>
  <si>
    <t>Thailand</t>
  </si>
  <si>
    <t>Tjeckien</t>
  </si>
  <si>
    <t>Trinidad och Tobago</t>
  </si>
  <si>
    <t>Tunisien</t>
  </si>
  <si>
    <t>Tyskland</t>
  </si>
  <si>
    <t>USA</t>
  </si>
  <si>
    <t>Uganda</t>
  </si>
  <si>
    <t>Ukraina</t>
  </si>
  <si>
    <t>Ungern</t>
  </si>
  <si>
    <t>Uruguay</t>
  </si>
  <si>
    <t>Uzbekistan</t>
  </si>
  <si>
    <t>Vietnam</t>
  </si>
  <si>
    <t>Zambia</t>
  </si>
  <si>
    <t>Österrike</t>
  </si>
  <si>
    <t>Övriga länder och områden</t>
  </si>
  <si>
    <t>Bosnien-Hercegovina</t>
  </si>
  <si>
    <t>Brunei Darussalam</t>
  </si>
  <si>
    <t>Hemkomst från</t>
  </si>
  <si>
    <t>Sverige</t>
  </si>
  <si>
    <t>Avresa från</t>
  </si>
  <si>
    <t xml:space="preserve"> </t>
  </si>
  <si>
    <t>Utland</t>
  </si>
  <si>
    <t>Tid i Sverige</t>
  </si>
  <si>
    <t>Avresedag</t>
  </si>
  <si>
    <t>Tid i Utland</t>
  </si>
  <si>
    <t>Helt eller halvt avresa</t>
  </si>
  <si>
    <t>Ankomst till</t>
  </si>
  <si>
    <t>Avresa från hemorten</t>
  </si>
  <si>
    <t>Ankomst till Sverige</t>
  </si>
  <si>
    <t>Avresa från Sverige</t>
  </si>
  <si>
    <t>Ankomst till hemorten</t>
  </si>
  <si>
    <t>Dag 7</t>
  </si>
  <si>
    <t>Dag 6</t>
  </si>
  <si>
    <t>OBS reseräkningen kan endast omfatta max 7 dagar, dela upp på flera blanketter</t>
  </si>
  <si>
    <t>Nattrakt Utland</t>
  </si>
  <si>
    <t>Nattrakt Sverige</t>
  </si>
  <si>
    <t xml:space="preserve">Helt eller halvt </t>
  </si>
  <si>
    <t>Helt eller halvt</t>
  </si>
  <si>
    <t>Restid</t>
  </si>
  <si>
    <t>Avresa från hem</t>
  </si>
  <si>
    <t>Ankomst</t>
  </si>
  <si>
    <t>Avresa</t>
  </si>
  <si>
    <t>Ankomst Sverige</t>
  </si>
  <si>
    <t>Ankomst hemmet</t>
  </si>
  <si>
    <t>Uträkningar inrikes eller utlandstraktaktamenten</t>
  </si>
  <si>
    <t>Dagar</t>
  </si>
  <si>
    <t>Timmar</t>
  </si>
  <si>
    <t>Till blankett</t>
  </si>
  <si>
    <t>svenskt</t>
  </si>
  <si>
    <t>Svenskt</t>
  </si>
  <si>
    <t>Utlänskt</t>
  </si>
  <si>
    <t>Dagar i utland</t>
  </si>
  <si>
    <t>Tid i Sverige hemresedagen</t>
  </si>
  <si>
    <t>Fungerar ej</t>
  </si>
  <si>
    <t>Tid i utland hemresedagen</t>
  </si>
  <si>
    <t>Trp</t>
  </si>
  <si>
    <t>Till nästa</t>
  </si>
  <si>
    <t>Från föreg.</t>
  </si>
  <si>
    <t>sida</t>
  </si>
  <si>
    <t>Gambia</t>
  </si>
  <si>
    <t>Libyen</t>
  </si>
  <si>
    <t>Luxemburg</t>
  </si>
  <si>
    <t>Mali</t>
  </si>
  <si>
    <t>Mexiko</t>
  </si>
  <si>
    <t>Portugal</t>
  </si>
  <si>
    <t>Rwanda</t>
  </si>
  <si>
    <t>Spanien</t>
  </si>
  <si>
    <t>Storbritannien och Nordirland</t>
  </si>
  <si>
    <t>Turkiet</t>
  </si>
  <si>
    <t>Nattraktamente för nätter i Sverige</t>
  </si>
  <si>
    <t>Dag 8</t>
  </si>
  <si>
    <t>Dag 9</t>
  </si>
  <si>
    <t>Tid i Sverige utresedagen</t>
  </si>
  <si>
    <t>Tid i utland ankomstdagen</t>
  </si>
  <si>
    <t>Summa dag 1-9</t>
  </si>
  <si>
    <t>1-9</t>
  </si>
  <si>
    <t>Namnförtydligande</t>
  </si>
  <si>
    <t>Uppgifter som behandlats på detta blad förs automatiskt över till sidan "Reseräkning".</t>
  </si>
  <si>
    <t>Reseräkning utland - fortsättning</t>
  </si>
  <si>
    <t>Kirgizistan</t>
  </si>
  <si>
    <t>Mauretanien</t>
  </si>
  <si>
    <t xml:space="preserve">De fält som inte bör ändras på föregående sidor är låsta. </t>
  </si>
  <si>
    <t>Armenien</t>
  </si>
  <si>
    <t>Förenade Arabemiraten</t>
  </si>
  <si>
    <t>Ghana</t>
  </si>
  <si>
    <t>Irak</t>
  </si>
  <si>
    <t>Kanada</t>
  </si>
  <si>
    <t>Maldiverna</t>
  </si>
  <si>
    <t>Qatar</t>
  </si>
  <si>
    <t>Elfenbenskusten</t>
  </si>
  <si>
    <t>Etiopien</t>
  </si>
  <si>
    <t>Sierra Leone</t>
  </si>
  <si>
    <t>Benin</t>
  </si>
  <si>
    <t>Burkina Faso</t>
  </si>
  <si>
    <t>Djibouti</t>
  </si>
  <si>
    <t>Kambodja</t>
  </si>
  <si>
    <t>Kosovo</t>
  </si>
  <si>
    <t>Liberia</t>
  </si>
  <si>
    <t>Mongoliet</t>
  </si>
  <si>
    <t>Nicaragua</t>
  </si>
  <si>
    <t>Niger</t>
  </si>
  <si>
    <t>Saint Lucia</t>
  </si>
  <si>
    <t>Togo</t>
  </si>
  <si>
    <t>Zimbabwe</t>
  </si>
  <si>
    <t>Antigua och Barbuda</t>
  </si>
  <si>
    <t>Barbados</t>
  </si>
  <si>
    <t>Guinea</t>
  </si>
  <si>
    <t>Litauen</t>
  </si>
  <si>
    <t>Montenegro</t>
  </si>
  <si>
    <t>Kazakstan</t>
  </si>
  <si>
    <t>Saint Vincent och Grenadinerna</t>
  </si>
  <si>
    <t>Avgår förskott:</t>
  </si>
  <si>
    <t>Angola</t>
  </si>
  <si>
    <t>Eritrea</t>
  </si>
  <si>
    <t>Gabon</t>
  </si>
  <si>
    <t>Kamerun</t>
  </si>
  <si>
    <t>Nederländska Antillerna</t>
  </si>
  <si>
    <t>Oman</t>
  </si>
  <si>
    <t>Peru</t>
  </si>
  <si>
    <t>Seychellerna</t>
  </si>
  <si>
    <t>Sudan</t>
  </si>
  <si>
    <t>Taiwan</t>
  </si>
  <si>
    <t>Belize</t>
  </si>
  <si>
    <t>Centralafrikanska republiken</t>
  </si>
  <si>
    <t>Madagaskar</t>
  </si>
  <si>
    <t>Malawi</t>
  </si>
  <si>
    <t>Mauritius</t>
  </si>
  <si>
    <t>Mikronesien</t>
  </si>
  <si>
    <t>Myanmar</t>
  </si>
  <si>
    <t>Papua Nya Guinea</t>
  </si>
  <si>
    <t>Samoa, Självständiga staten</t>
  </si>
  <si>
    <t>Tonga</t>
  </si>
  <si>
    <t>Turkmenistan</t>
  </si>
  <si>
    <t>Vanuatu</t>
  </si>
  <si>
    <t>Mocambique</t>
  </si>
  <si>
    <t>Nya Zeeland</t>
  </si>
  <si>
    <t>Serbien</t>
  </si>
  <si>
    <t xml:space="preserve">Nedan anges belopp som är skattefria. Om företaget även utbetalar skattepliktiga </t>
  </si>
  <si>
    <t>Summa ersättning</t>
  </si>
  <si>
    <t>Tillägg förutom skattefritt belopp</t>
  </si>
  <si>
    <t>Egen bil</t>
  </si>
  <si>
    <t>Tillägg</t>
  </si>
  <si>
    <t>Skattepl. förmån</t>
  </si>
  <si>
    <t>Skattepl. ersättning</t>
  </si>
  <si>
    <t>Namnteckning:</t>
  </si>
  <si>
    <t>Dag 2-8</t>
  </si>
  <si>
    <t>Startdag + 1 = Slutdag</t>
  </si>
  <si>
    <t>Sluttid = före kl.6?</t>
  </si>
  <si>
    <t>Beräkning dag 1</t>
  </si>
  <si>
    <t>För angivelse av antal traktamenten i blanketten:</t>
  </si>
  <si>
    <t>Antal svenska traktamenten</t>
  </si>
  <si>
    <t>Antal utländska traktamenten</t>
  </si>
  <si>
    <t>//Draftit</t>
  </si>
  <si>
    <t>Reseräkning – Utland</t>
  </si>
  <si>
    <t>Albanien</t>
  </si>
  <si>
    <t>Burma</t>
  </si>
  <si>
    <t>Grönland</t>
  </si>
  <si>
    <t>Hong Kong</t>
  </si>
  <si>
    <t>Kongo (Brazzaville)</t>
  </si>
  <si>
    <t>Liechtenstein</t>
  </si>
  <si>
    <t>Puerto Rico</t>
  </si>
  <si>
    <t>San Marino</t>
  </si>
  <si>
    <t>Typ/måltidsavdrag SE</t>
  </si>
  <si>
    <t>Svenskt måltidsavdrag</t>
  </si>
  <si>
    <t>Venezuela</t>
  </si>
  <si>
    <t>tillägg därutöver lägg till aktuella belopp under resetillägg.</t>
  </si>
  <si>
    <t>Belarus</t>
  </si>
  <si>
    <t>Macao</t>
  </si>
  <si>
    <t>Kongo(Demokratiska Republiken)</t>
  </si>
  <si>
    <t>Eswatini</t>
  </si>
  <si>
    <t>El Salvador</t>
  </si>
  <si>
    <t>Tjänstebil, el</t>
  </si>
  <si>
    <t xml:space="preserve">Tjänstebil, bensin och diesel </t>
  </si>
  <si>
    <t>Nordmakedonien, f.d. makedonien</t>
  </si>
  <si>
    <t>Utlandstraktamenten 2024</t>
  </si>
  <si>
    <t>Reseräkning enligt skatteregler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</si>
</sst>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#,##0.00\ &quot;kr&quot;"/>
    <numFmt numFmtId="166" formatCode="0.00000"/>
    <numFmt numFmtId="167" formatCode="######\-####"/>
    <numFmt numFmtId="168" formatCode="_-* #,##0\ &quot;kr&quot;_-;\-* #,##0\ &quot;kr&quot;_-;_-* &quot;-&quot;??\ &quot;kr&quot;_-;_-@_-"/>
    <numFmt numFmtId="169" formatCode="0.00000000000000000"/>
    <numFmt numFmtId="170" formatCode="hh:mm;@"/>
    <numFmt numFmtId="171" formatCode="yyyy/mm/dd;@"/>
    <numFmt numFmtId="172" formatCode="_-* #,##0.00\ [$kr-41D]_-;\-* #,##0.00\ [$kr-41D]_-;_-* &quot;-&quot;??\ [$kr-41D]_-;_-@_-"/>
    <numFmt numFmtId="173" formatCode="#,##0.00_ ;\-#,##0.00\ "/>
    <numFmt numFmtId="174" formatCode="hh:mm:ss;@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121212"/>
      <name val="Calibri"/>
      <family val="2"/>
      <scheme val="minor"/>
    </font>
    <font>
      <sz val="11"/>
      <color rgb="FF121212"/>
      <name val="Arial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8" fillId="3" borderId="18" applyNumberFormat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4">
    <xf numFmtId="0" fontId="0" fillId="0" borderId="0" xfId="0"/>
    <xf numFmtId="2" fontId="0" fillId="0" borderId="0" xfId="0" applyNumberFormat="1"/>
    <xf numFmtId="49" fontId="2" fillId="0" borderId="0" xfId="0" applyNumberFormat="1" applyFont="1"/>
    <xf numFmtId="0" fontId="3" fillId="0" borderId="0" xfId="0" applyFont="1"/>
    <xf numFmtId="1" fontId="0" fillId="0" borderId="0" xfId="0" applyNumberFormat="1"/>
    <xf numFmtId="20" fontId="3" fillId="0" borderId="0" xfId="0" applyNumberFormat="1" applyFont="1"/>
    <xf numFmtId="20" fontId="0" fillId="0" borderId="0" xfId="0" applyNumberFormat="1"/>
    <xf numFmtId="169" fontId="0" fillId="0" borderId="0" xfId="0" applyNumberFormat="1"/>
    <xf numFmtId="166" fontId="0" fillId="0" borderId="0" xfId="0" applyNumberFormat="1"/>
    <xf numFmtId="14" fontId="0" fillId="0" borderId="0" xfId="0" applyNumberFormat="1"/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170" fontId="0" fillId="0" borderId="1" xfId="0" applyNumberFormat="1" applyBorder="1"/>
    <xf numFmtId="20" fontId="0" fillId="0" borderId="1" xfId="0" applyNumberFormat="1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44" fontId="0" fillId="0" borderId="0" xfId="3" applyFont="1"/>
    <xf numFmtId="44" fontId="0" fillId="0" borderId="0" xfId="0" applyNumberFormat="1"/>
    <xf numFmtId="0" fontId="1" fillId="0" borderId="0" xfId="0" applyFont="1"/>
    <xf numFmtId="0" fontId="12" fillId="0" borderId="0" xfId="0" applyFont="1"/>
    <xf numFmtId="167" fontId="16" fillId="5" borderId="1" xfId="1" applyNumberFormat="1" applyFont="1" applyFill="1" applyBorder="1" applyAlignment="1" applyProtection="1">
      <alignment horizontal="left"/>
      <protection locked="0"/>
    </xf>
    <xf numFmtId="20" fontId="16" fillId="5" borderId="1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 applyProtection="1">
      <alignment horizontal="left"/>
      <protection locked="0"/>
    </xf>
    <xf numFmtId="0" fontId="16" fillId="5" borderId="1" xfId="1" applyFont="1" applyFill="1" applyBorder="1" applyProtection="1">
      <protection locked="0"/>
    </xf>
    <xf numFmtId="171" fontId="16" fillId="5" borderId="20" xfId="1" applyNumberFormat="1" applyFont="1" applyFill="1" applyBorder="1" applyAlignment="1" applyProtection="1">
      <alignment horizontal="left"/>
      <protection locked="0"/>
    </xf>
    <xf numFmtId="14" fontId="16" fillId="5" borderId="1" xfId="1" applyNumberFormat="1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165" fontId="14" fillId="0" borderId="0" xfId="0" applyNumberFormat="1" applyFont="1"/>
    <xf numFmtId="0" fontId="14" fillId="0" borderId="0" xfId="0" applyFont="1"/>
    <xf numFmtId="0" fontId="1" fillId="0" borderId="5" xfId="0" applyFont="1" applyBorder="1"/>
    <xf numFmtId="0" fontId="0" fillId="0" borderId="3" xfId="0" applyBorder="1"/>
    <xf numFmtId="0" fontId="1" fillId="0" borderId="21" xfId="0" applyFont="1" applyBorder="1"/>
    <xf numFmtId="0" fontId="0" fillId="0" borderId="14" xfId="0" applyBorder="1"/>
    <xf numFmtId="0" fontId="27" fillId="0" borderId="6" xfId="0" applyFont="1" applyBorder="1"/>
    <xf numFmtId="20" fontId="0" fillId="6" borderId="0" xfId="0" applyNumberFormat="1" applyFill="1"/>
    <xf numFmtId="164" fontId="0" fillId="0" borderId="8" xfId="0" applyNumberFormat="1" applyBorder="1"/>
    <xf numFmtId="1" fontId="23" fillId="0" borderId="0" xfId="0" applyNumberFormat="1" applyFont="1"/>
    <xf numFmtId="1" fontId="15" fillId="0" borderId="0" xfId="0" applyNumberFormat="1" applyFont="1" applyAlignment="1">
      <alignment horizontal="right"/>
    </xf>
    <xf numFmtId="0" fontId="19" fillId="0" borderId="0" xfId="0" applyFont="1" applyAlignment="1">
      <alignment horizontal="left" indent="3"/>
    </xf>
    <xf numFmtId="1" fontId="16" fillId="0" borderId="0" xfId="0" applyNumberFormat="1" applyFont="1"/>
    <xf numFmtId="1" fontId="14" fillId="0" borderId="0" xfId="0" applyNumberFormat="1" applyFont="1" applyAlignment="1">
      <alignment horizontal="right"/>
    </xf>
    <xf numFmtId="0" fontId="18" fillId="0" borderId="0" xfId="0" applyFont="1" applyAlignment="1">
      <alignment vertical="top" wrapText="1"/>
    </xf>
    <xf numFmtId="1" fontId="16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1" fontId="12" fillId="0" borderId="0" xfId="0" applyNumberFormat="1" applyFont="1"/>
    <xf numFmtId="1" fontId="12" fillId="0" borderId="0" xfId="0" applyNumberFormat="1" applyFont="1" applyAlignment="1">
      <alignment horizontal="right"/>
    </xf>
    <xf numFmtId="0" fontId="19" fillId="0" borderId="0" xfId="0" applyFont="1"/>
    <xf numFmtId="0" fontId="24" fillId="0" borderId="0" xfId="0" applyFont="1"/>
    <xf numFmtId="0" fontId="15" fillId="0" borderId="0" xfId="0" applyFont="1"/>
    <xf numFmtId="44" fontId="14" fillId="0" borderId="0" xfId="3" applyFont="1"/>
    <xf numFmtId="49" fontId="14" fillId="0" borderId="0" xfId="0" applyNumberFormat="1" applyFont="1"/>
    <xf numFmtId="20" fontId="14" fillId="0" borderId="0" xfId="0" applyNumberFormat="1" applyFont="1"/>
    <xf numFmtId="165" fontId="12" fillId="0" borderId="0" xfId="0" applyNumberFormat="1" applyFont="1"/>
    <xf numFmtId="9" fontId="14" fillId="0" borderId="0" xfId="2" applyFont="1" applyAlignment="1">
      <alignment horizontal="center"/>
    </xf>
    <xf numFmtId="2" fontId="14" fillId="0" borderId="0" xfId="0" applyNumberFormat="1" applyFont="1"/>
    <xf numFmtId="9" fontId="12" fillId="0" borderId="0" xfId="0" applyNumberFormat="1" applyFont="1"/>
    <xf numFmtId="6" fontId="12" fillId="0" borderId="0" xfId="0" applyNumberFormat="1" applyFont="1"/>
    <xf numFmtId="0" fontId="14" fillId="0" borderId="0" xfId="0" applyFont="1" applyAlignment="1">
      <alignment horizontal="center"/>
    </xf>
    <xf numFmtId="165" fontId="14" fillId="5" borderId="0" xfId="0" applyNumberFormat="1" applyFont="1" applyFill="1"/>
    <xf numFmtId="0" fontId="17" fillId="0" borderId="0" xfId="0" applyFont="1"/>
    <xf numFmtId="168" fontId="0" fillId="0" borderId="0" xfId="3" applyNumberFormat="1" applyFont="1"/>
    <xf numFmtId="0" fontId="16" fillId="5" borderId="1" xfId="1" applyFont="1" applyFill="1" applyBorder="1" applyAlignment="1" applyProtection="1">
      <alignment horizontal="left"/>
      <protection locked="0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168" fontId="16" fillId="0" borderId="1" xfId="3" applyNumberFormat="1" applyFont="1" applyBorder="1" applyAlignment="1">
      <alignment horizontal="left"/>
    </xf>
    <xf numFmtId="0" fontId="28" fillId="4" borderId="9" xfId="0" applyFont="1" applyFill="1" applyBorder="1"/>
    <xf numFmtId="0" fontId="28" fillId="4" borderId="12" xfId="0" applyFont="1" applyFill="1" applyBorder="1"/>
    <xf numFmtId="0" fontId="28" fillId="4" borderId="1" xfId="0" applyFont="1" applyFill="1" applyBorder="1"/>
    <xf numFmtId="0" fontId="16" fillId="0" borderId="5" xfId="0" applyFont="1" applyBorder="1"/>
    <xf numFmtId="0" fontId="16" fillId="0" borderId="3" xfId="0" applyFont="1" applyBorder="1"/>
    <xf numFmtId="0" fontId="16" fillId="0" borderId="9" xfId="0" applyFont="1" applyBorder="1"/>
    <xf numFmtId="0" fontId="16" fillId="0" borderId="6" xfId="0" applyFont="1" applyBorder="1"/>
    <xf numFmtId="0" fontId="16" fillId="0" borderId="4" xfId="0" applyFont="1" applyBorder="1"/>
    <xf numFmtId="14" fontId="16" fillId="0" borderId="0" xfId="0" applyNumberFormat="1" applyFont="1" applyAlignment="1">
      <alignment horizontal="left"/>
    </xf>
    <xf numFmtId="20" fontId="16" fillId="0" borderId="0" xfId="0" applyNumberFormat="1" applyFont="1" applyAlignment="1">
      <alignment horizontal="left"/>
    </xf>
    <xf numFmtId="0" fontId="16" fillId="4" borderId="1" xfId="0" applyFont="1" applyFill="1" applyBorder="1"/>
    <xf numFmtId="14" fontId="16" fillId="0" borderId="0" xfId="0" applyNumberFormat="1" applyFont="1"/>
    <xf numFmtId="20" fontId="16" fillId="0" borderId="0" xfId="0" applyNumberFormat="1" applyFont="1"/>
    <xf numFmtId="14" fontId="16" fillId="0" borderId="1" xfId="0" applyNumberFormat="1" applyFont="1" applyBorder="1"/>
    <xf numFmtId="49" fontId="16" fillId="5" borderId="1" xfId="0" applyNumberFormat="1" applyFont="1" applyFill="1" applyBorder="1"/>
    <xf numFmtId="14" fontId="29" fillId="4" borderId="1" xfId="0" applyNumberFormat="1" applyFont="1" applyFill="1" applyBorder="1"/>
    <xf numFmtId="20" fontId="29" fillId="4" borderId="9" xfId="0" applyNumberFormat="1" applyFont="1" applyFill="1" applyBorder="1"/>
    <xf numFmtId="0" fontId="16" fillId="5" borderId="0" xfId="0" applyFont="1" applyFill="1"/>
    <xf numFmtId="44" fontId="16" fillId="0" borderId="1" xfId="3" applyFont="1" applyBorder="1"/>
    <xf numFmtId="0" fontId="16" fillId="0" borderId="13" xfId="0" applyFont="1" applyBorder="1"/>
    <xf numFmtId="0" fontId="16" fillId="5" borderId="2" xfId="0" applyFont="1" applyFill="1" applyBorder="1"/>
    <xf numFmtId="0" fontId="16" fillId="0" borderId="11" xfId="0" applyFont="1" applyBorder="1"/>
    <xf numFmtId="0" fontId="16" fillId="0" borderId="7" xfId="0" applyFont="1" applyBorder="1"/>
    <xf numFmtId="0" fontId="18" fillId="0" borderId="4" xfId="0" applyFont="1" applyBorder="1"/>
    <xf numFmtId="44" fontId="16" fillId="0" borderId="1" xfId="0" applyNumberFormat="1" applyFont="1" applyBorder="1"/>
    <xf numFmtId="0" fontId="18" fillId="0" borderId="0" xfId="0" applyFont="1" applyAlignment="1">
      <alignment horizontal="center" textRotation="90"/>
    </xf>
    <xf numFmtId="0" fontId="16" fillId="0" borderId="12" xfId="0" applyFont="1" applyBorder="1"/>
    <xf numFmtId="0" fontId="18" fillId="0" borderId="7" xfId="0" applyFont="1" applyBorder="1"/>
    <xf numFmtId="0" fontId="18" fillId="0" borderId="0" xfId="0" applyFont="1"/>
    <xf numFmtId="0" fontId="16" fillId="0" borderId="0" xfId="0" applyFont="1" applyAlignment="1">
      <alignment horizontal="center" vertical="center" textRotation="90"/>
    </xf>
    <xf numFmtId="44" fontId="16" fillId="0" borderId="0" xfId="3" applyFont="1"/>
    <xf numFmtId="0" fontId="16" fillId="0" borderId="2" xfId="0" applyFont="1" applyBorder="1"/>
    <xf numFmtId="44" fontId="16" fillId="0" borderId="10" xfId="0" applyNumberFormat="1" applyFont="1" applyBorder="1"/>
    <xf numFmtId="44" fontId="30" fillId="0" borderId="1" xfId="3" applyFont="1" applyBorder="1"/>
    <xf numFmtId="44" fontId="16" fillId="0" borderId="0" xfId="0" applyNumberFormat="1" applyFont="1"/>
    <xf numFmtId="0" fontId="28" fillId="0" borderId="13" xfId="0" applyFont="1" applyBorder="1" applyAlignment="1">
      <alignment horizontal="center" vertical="center" textRotation="90"/>
    </xf>
    <xf numFmtId="44" fontId="16" fillId="0" borderId="10" xfId="3" applyFont="1" applyBorder="1"/>
    <xf numFmtId="0" fontId="28" fillId="0" borderId="0" xfId="0" applyFont="1" applyAlignment="1">
      <alignment horizontal="center" vertical="center" textRotation="90"/>
    </xf>
    <xf numFmtId="44" fontId="16" fillId="0" borderId="7" xfId="3" applyFont="1" applyBorder="1"/>
    <xf numFmtId="2" fontId="16" fillId="0" borderId="9" xfId="0" applyNumberFormat="1" applyFont="1" applyBorder="1"/>
    <xf numFmtId="44" fontId="16" fillId="0" borderId="1" xfId="3" applyFont="1" applyBorder="1" applyAlignment="1">
      <alignment horizontal="right"/>
    </xf>
    <xf numFmtId="0" fontId="16" fillId="0" borderId="1" xfId="0" applyFont="1" applyBorder="1" applyProtection="1">
      <protection locked="0"/>
    </xf>
    <xf numFmtId="44" fontId="16" fillId="5" borderId="1" xfId="3" applyFont="1" applyFill="1" applyBorder="1" applyProtection="1">
      <protection locked="0"/>
    </xf>
    <xf numFmtId="44" fontId="16" fillId="0" borderId="0" xfId="3" applyFont="1" applyProtection="1">
      <protection locked="0"/>
    </xf>
    <xf numFmtId="172" fontId="16" fillId="5" borderId="1" xfId="3" applyNumberFormat="1" applyFont="1" applyFill="1" applyBorder="1" applyProtection="1">
      <protection locked="0"/>
    </xf>
    <xf numFmtId="44" fontId="16" fillId="2" borderId="0" xfId="4" applyFont="1" applyFill="1" applyProtection="1">
      <protection locked="0"/>
    </xf>
    <xf numFmtId="0" fontId="16" fillId="0" borderId="2" xfId="0" applyFont="1" applyBorder="1" applyAlignment="1">
      <alignment vertical="center" wrapText="1"/>
    </xf>
    <xf numFmtId="44" fontId="18" fillId="0" borderId="19" xfId="3" applyFont="1" applyBorder="1"/>
    <xf numFmtId="44" fontId="16" fillId="0" borderId="19" xfId="3" applyFont="1" applyBorder="1"/>
    <xf numFmtId="44" fontId="16" fillId="0" borderId="17" xfId="3" applyFont="1" applyBorder="1"/>
    <xf numFmtId="44" fontId="18" fillId="0" borderId="0" xfId="3" applyFont="1"/>
    <xf numFmtId="171" fontId="16" fillId="5" borderId="1" xfId="1" applyNumberFormat="1" applyFont="1" applyFill="1" applyBorder="1" applyAlignment="1" applyProtection="1">
      <alignment horizontal="right"/>
      <protection locked="0"/>
    </xf>
    <xf numFmtId="0" fontId="16" fillId="0" borderId="12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right"/>
    </xf>
    <xf numFmtId="0" fontId="16" fillId="2" borderId="0" xfId="0" applyFont="1" applyFill="1"/>
    <xf numFmtId="0" fontId="16" fillId="0" borderId="0" xfId="0" applyFont="1" applyProtection="1">
      <protection locked="0"/>
    </xf>
    <xf numFmtId="0" fontId="16" fillId="2" borderId="0" xfId="0" applyFont="1" applyFill="1" applyProtection="1">
      <protection locked="0"/>
    </xf>
    <xf numFmtId="0" fontId="3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4" fontId="0" fillId="0" borderId="13" xfId="0" applyNumberFormat="1" applyBorder="1"/>
    <xf numFmtId="0" fontId="0" fillId="0" borderId="13" xfId="0" applyBorder="1"/>
    <xf numFmtId="173" fontId="0" fillId="0" borderId="13" xfId="0" applyNumberFormat="1" applyBorder="1"/>
    <xf numFmtId="2" fontId="0" fillId="0" borderId="13" xfId="0" applyNumberFormat="1" applyBorder="1"/>
    <xf numFmtId="0" fontId="32" fillId="0" borderId="0" xfId="0" applyFont="1" applyAlignment="1">
      <alignment horizontal="left" vertical="center" wrapText="1" indent="1"/>
    </xf>
    <xf numFmtId="0" fontId="33" fillId="0" borderId="0" xfId="0" applyFont="1" applyAlignment="1">
      <alignment horizontal="left" vertical="center" wrapText="1" indent="1"/>
    </xf>
    <xf numFmtId="164" fontId="1" fillId="0" borderId="0" xfId="0" applyNumberFormat="1" applyFont="1"/>
    <xf numFmtId="0" fontId="27" fillId="0" borderId="0" xfId="0" applyFont="1"/>
    <xf numFmtId="174" fontId="27" fillId="0" borderId="0" xfId="0" applyNumberFormat="1" applyFont="1"/>
    <xf numFmtId="20" fontId="27" fillId="0" borderId="0" xfId="0" applyNumberFormat="1" applyFont="1"/>
    <xf numFmtId="1" fontId="27" fillId="0" borderId="4" xfId="0" applyNumberFormat="1" applyFont="1" applyBorder="1"/>
    <xf numFmtId="164" fontId="0" fillId="0" borderId="1" xfId="0" applyNumberFormat="1" applyBorder="1"/>
    <xf numFmtId="173" fontId="0" fillId="0" borderId="0" xfId="0" applyNumberFormat="1"/>
    <xf numFmtId="0" fontId="1" fillId="0" borderId="6" xfId="0" applyFont="1" applyBorder="1"/>
    <xf numFmtId="164" fontId="0" fillId="0" borderId="7" xfId="0" applyNumberFormat="1" applyBorder="1"/>
    <xf numFmtId="0" fontId="16" fillId="0" borderId="0" xfId="0" applyFont="1" applyAlignment="1">
      <alignment horizontal="left" vertical="center" wrapText="1"/>
    </xf>
    <xf numFmtId="44" fontId="16" fillId="0" borderId="1" xfId="3" applyFont="1" applyFill="1" applyBorder="1"/>
    <xf numFmtId="0" fontId="16" fillId="5" borderId="1" xfId="1" applyFont="1" applyFill="1" applyBorder="1" applyAlignment="1" applyProtection="1">
      <alignment horizontal="left"/>
      <protection locked="0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9" xfId="0" applyFont="1" applyBorder="1"/>
    <xf numFmtId="0" fontId="16" fillId="0" borderId="12" xfId="0" applyFont="1" applyBorder="1"/>
    <xf numFmtId="0" fontId="16" fillId="0" borderId="10" xfId="0" applyFont="1" applyBorder="1"/>
    <xf numFmtId="0" fontId="16" fillId="5" borderId="1" xfId="1" applyFont="1" applyFill="1" applyBorder="1" applyProtection="1">
      <protection locked="0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28" fillId="4" borderId="0" xfId="0" applyNumberFormat="1" applyFont="1" applyFill="1" applyAlignment="1">
      <alignment horizontal="center" vertical="center" textRotation="90"/>
    </xf>
    <xf numFmtId="14" fontId="28" fillId="4" borderId="15" xfId="0" applyNumberFormat="1" applyFont="1" applyFill="1" applyBorder="1" applyAlignment="1">
      <alignment horizontal="center" vertical="center" textRotation="90"/>
    </xf>
    <xf numFmtId="14" fontId="28" fillId="4" borderId="14" xfId="0" applyNumberFormat="1" applyFont="1" applyFill="1" applyBorder="1" applyAlignment="1">
      <alignment horizontal="center" vertical="center" textRotation="90"/>
    </xf>
    <xf numFmtId="14" fontId="28" fillId="4" borderId="4" xfId="0" applyNumberFormat="1" applyFont="1" applyFill="1" applyBorder="1" applyAlignment="1">
      <alignment horizontal="center" vertical="center" textRotation="90"/>
    </xf>
    <xf numFmtId="14" fontId="28" fillId="4" borderId="0" xfId="0" applyNumberFormat="1" applyFont="1" applyFill="1" applyAlignment="1">
      <alignment horizontal="center" vertical="center" textRotation="90"/>
    </xf>
    <xf numFmtId="14" fontId="28" fillId="4" borderId="2" xfId="0" applyNumberFormat="1" applyFont="1" applyFill="1" applyBorder="1" applyAlignment="1">
      <alignment horizontal="center" vertical="center" textRotation="90"/>
    </xf>
    <xf numFmtId="14" fontId="28" fillId="4" borderId="11" xfId="0" applyNumberFormat="1" applyFont="1" applyFill="1" applyBorder="1" applyAlignment="1">
      <alignment horizontal="center" vertical="center" textRotation="90"/>
    </xf>
    <xf numFmtId="14" fontId="28" fillId="4" borderId="7" xfId="0" applyNumberFormat="1" applyFont="1" applyFill="1" applyBorder="1" applyAlignment="1">
      <alignment horizontal="center" vertical="center" textRotation="90"/>
    </xf>
    <xf numFmtId="0" fontId="28" fillId="4" borderId="14" xfId="0" applyFont="1" applyFill="1" applyBorder="1" applyAlignment="1">
      <alignment horizontal="center" vertical="center" textRotation="90"/>
    </xf>
    <xf numFmtId="0" fontId="16" fillId="4" borderId="14" xfId="0" applyFont="1" applyFill="1" applyBorder="1" applyAlignment="1">
      <alignment horizontal="center" vertical="center" textRotation="90"/>
    </xf>
    <xf numFmtId="14" fontId="16" fillId="0" borderId="1" xfId="0" applyNumberFormat="1" applyFont="1" applyBorder="1"/>
    <xf numFmtId="0" fontId="16" fillId="0" borderId="6" xfId="0" applyFont="1" applyBorder="1"/>
    <xf numFmtId="0" fontId="16" fillId="0" borderId="4" xfId="0" applyFont="1" applyBorder="1"/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5" borderId="6" xfId="1" applyFont="1" applyFill="1" applyBorder="1" applyProtection="1">
      <protection locked="0"/>
    </xf>
    <xf numFmtId="0" fontId="16" fillId="5" borderId="13" xfId="1" applyFont="1" applyFill="1" applyBorder="1" applyProtection="1">
      <protection locked="0"/>
    </xf>
    <xf numFmtId="0" fontId="28" fillId="4" borderId="3" xfId="0" applyFont="1" applyFill="1" applyBorder="1" applyAlignment="1">
      <alignment horizontal="center" vertical="center" textRotation="90"/>
    </xf>
    <xf numFmtId="0" fontId="28" fillId="4" borderId="5" xfId="0" applyFont="1" applyFill="1" applyBorder="1" applyAlignment="1">
      <alignment horizontal="center" vertical="center" textRotation="90"/>
    </xf>
    <xf numFmtId="0" fontId="16" fillId="4" borderId="6" xfId="0" applyFont="1" applyFill="1" applyBorder="1" applyAlignment="1">
      <alignment horizontal="center" vertical="center" textRotation="90"/>
    </xf>
    <xf numFmtId="0" fontId="16" fillId="0" borderId="9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8" fillId="4" borderId="0" xfId="0" applyFont="1" applyFill="1" applyAlignment="1">
      <alignment horizontal="center" vertical="center" textRotation="90"/>
    </xf>
    <xf numFmtId="0" fontId="16" fillId="4" borderId="0" xfId="0" applyFont="1" applyFill="1"/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readingOrder="1"/>
    </xf>
    <xf numFmtId="0" fontId="16" fillId="5" borderId="9" xfId="0" applyFont="1" applyFill="1" applyBorder="1" applyAlignment="1">
      <alignment horizontal="left" vertical="top"/>
    </xf>
    <xf numFmtId="0" fontId="16" fillId="5" borderId="10" xfId="0" applyFont="1" applyFill="1" applyBorder="1"/>
    <xf numFmtId="0" fontId="16" fillId="0" borderId="10" xfId="0" applyFont="1" applyBorder="1" applyAlignment="1">
      <alignment horizontal="left" vertical="top"/>
    </xf>
  </cellXfs>
  <cellStyles count="8">
    <cellStyle name="Följd hyperlänk" xfId="7" builtinId="9" hidden="1"/>
    <cellStyle name="Hyperlänk" xfId="6" builtinId="8" hidden="1"/>
    <cellStyle name="Indata" xfId="1" builtinId="20"/>
    <cellStyle name="Normal" xfId="0" builtinId="0"/>
    <cellStyle name="Procent" xfId="2" builtinId="5"/>
    <cellStyle name="Valuta" xfId="3" builtinId="4"/>
    <cellStyle name="Valuta 2" xfId="4" xr:uid="{00000000-0005-0000-0000-000006000000}"/>
    <cellStyle name="Valuta 3" xfId="5" xr:uid="{00000000-0005-0000-0000-000007000000}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Uträkningar mm'!$D$24" lockText="1"/>
</file>

<file path=xl/ctrlProps/ctrlProp10.xml><?xml version="1.0" encoding="utf-8"?>
<formControlPr xmlns="http://schemas.microsoft.com/office/spreadsheetml/2009/9/main" objectType="CheckBox" fmlaLink="'Uträkningar mm'!$D$39" lockText="1"/>
</file>

<file path=xl/ctrlProps/ctrlProp11.xml><?xml version="1.0" encoding="utf-8"?>
<formControlPr xmlns="http://schemas.microsoft.com/office/spreadsheetml/2009/9/main" objectType="CheckBox" fmlaLink="'Uträkningar mm'!$D$54" lockText="1"/>
</file>

<file path=xl/ctrlProps/ctrlProp12.xml><?xml version="1.0" encoding="utf-8"?>
<formControlPr xmlns="http://schemas.microsoft.com/office/spreadsheetml/2009/9/main" objectType="CheckBox" fmlaLink="'Uträkningar mm'!$D$30" lockText="1"/>
</file>

<file path=xl/ctrlProps/ctrlProp13.xml><?xml version="1.0" encoding="utf-8"?>
<formControlPr xmlns="http://schemas.microsoft.com/office/spreadsheetml/2009/9/main" objectType="CheckBox" fmlaLink="'Uträkningar mm'!$D$35" lockText="1"/>
</file>

<file path=xl/ctrlProps/ctrlProp14.xml><?xml version="1.0" encoding="utf-8"?>
<formControlPr xmlns="http://schemas.microsoft.com/office/spreadsheetml/2009/9/main" objectType="CheckBox" fmlaLink="'Uträkningar mm'!$D$40" lockText="1"/>
</file>

<file path=xl/ctrlProps/ctrlProp15.xml><?xml version="1.0" encoding="utf-8"?>
<formControlPr xmlns="http://schemas.microsoft.com/office/spreadsheetml/2009/9/main" objectType="CheckBox" fmlaLink="'Uträkningar mm'!$D$55" lockText="1"/>
</file>

<file path=xl/ctrlProps/ctrlProp16.xml><?xml version="1.0" encoding="utf-8"?>
<formControlPr xmlns="http://schemas.microsoft.com/office/spreadsheetml/2009/9/main" objectType="CheckBox" fmlaLink="'Uträkningar mm'!$H$23" lockText="1"/>
</file>

<file path=xl/ctrlProps/ctrlProp17.xml><?xml version="1.0" encoding="utf-8"?>
<formControlPr xmlns="http://schemas.microsoft.com/office/spreadsheetml/2009/9/main" objectType="CheckBox" fmlaLink="'Uträkningar mm'!$H$24" lockText="1"/>
</file>

<file path=xl/ctrlProps/ctrlProp18.xml><?xml version="1.0" encoding="utf-8"?>
<formControlPr xmlns="http://schemas.microsoft.com/office/spreadsheetml/2009/9/main" objectType="CheckBox" fmlaLink="'Uträkningar mm'!$H$25" lockText="1"/>
</file>

<file path=xl/ctrlProps/ctrlProp19.xml><?xml version="1.0" encoding="utf-8"?>
<formControlPr xmlns="http://schemas.microsoft.com/office/spreadsheetml/2009/9/main" objectType="CheckBox" fmlaLink="'Uträkningar mm'!$H$28" lockText="1"/>
</file>

<file path=xl/ctrlProps/ctrlProp2.xml><?xml version="1.0" encoding="utf-8"?>
<formControlPr xmlns="http://schemas.microsoft.com/office/spreadsheetml/2009/9/main" objectType="CheckBox" fmlaLink="'Uträkningar mm'!$D$25" lockText="1"/>
</file>

<file path=xl/ctrlProps/ctrlProp20.xml><?xml version="1.0" encoding="utf-8"?>
<formControlPr xmlns="http://schemas.microsoft.com/office/spreadsheetml/2009/9/main" objectType="CheckBox" fmlaLink="'Uträkningar mm'!$H$33" lockText="1"/>
</file>

<file path=xl/ctrlProps/ctrlProp21.xml><?xml version="1.0" encoding="utf-8"?>
<formControlPr xmlns="http://schemas.microsoft.com/office/spreadsheetml/2009/9/main" objectType="CheckBox" fmlaLink="'Uträkningar mm'!$H$38" lockText="1"/>
</file>

<file path=xl/ctrlProps/ctrlProp22.xml><?xml version="1.0" encoding="utf-8"?>
<formControlPr xmlns="http://schemas.microsoft.com/office/spreadsheetml/2009/9/main" objectType="CheckBox" fmlaLink="'Uträkningar mm'!$H$53" lockText="1"/>
</file>

<file path=xl/ctrlProps/ctrlProp23.xml><?xml version="1.0" encoding="utf-8"?>
<formControlPr xmlns="http://schemas.microsoft.com/office/spreadsheetml/2009/9/main" objectType="CheckBox" fmlaLink="'Uträkningar mm'!$H$29" lockText="1"/>
</file>

<file path=xl/ctrlProps/ctrlProp24.xml><?xml version="1.0" encoding="utf-8"?>
<formControlPr xmlns="http://schemas.microsoft.com/office/spreadsheetml/2009/9/main" objectType="CheckBox" fmlaLink="'Uträkningar mm'!$H$34" lockText="1"/>
</file>

<file path=xl/ctrlProps/ctrlProp25.xml><?xml version="1.0" encoding="utf-8"?>
<formControlPr xmlns="http://schemas.microsoft.com/office/spreadsheetml/2009/9/main" objectType="CheckBox" fmlaLink="'Uträkningar mm'!$H$39" lockText="1"/>
</file>

<file path=xl/ctrlProps/ctrlProp26.xml><?xml version="1.0" encoding="utf-8"?>
<formControlPr xmlns="http://schemas.microsoft.com/office/spreadsheetml/2009/9/main" objectType="CheckBox" fmlaLink="'Uträkningar mm'!$H$54" lockText="1"/>
</file>

<file path=xl/ctrlProps/ctrlProp27.xml><?xml version="1.0" encoding="utf-8"?>
<formControlPr xmlns="http://schemas.microsoft.com/office/spreadsheetml/2009/9/main" objectType="CheckBox" fmlaLink="'Uträkningar mm'!$H$30" lockText="1"/>
</file>

<file path=xl/ctrlProps/ctrlProp28.xml><?xml version="1.0" encoding="utf-8"?>
<formControlPr xmlns="http://schemas.microsoft.com/office/spreadsheetml/2009/9/main" objectType="CheckBox" fmlaLink="'Uträkningar mm'!$H$35" lockText="1"/>
</file>

<file path=xl/ctrlProps/ctrlProp29.xml><?xml version="1.0" encoding="utf-8"?>
<formControlPr xmlns="http://schemas.microsoft.com/office/spreadsheetml/2009/9/main" objectType="CheckBox" fmlaLink="'Uträkningar mm'!$H$40" lockText="1"/>
</file>

<file path=xl/ctrlProps/ctrlProp3.xml><?xml version="1.0" encoding="utf-8"?>
<formControlPr xmlns="http://schemas.microsoft.com/office/spreadsheetml/2009/9/main" objectType="CheckBox" fmlaLink="'Uträkningar mm'!$D$23" lockText="1"/>
</file>

<file path=xl/ctrlProps/ctrlProp30.xml><?xml version="1.0" encoding="utf-8"?>
<formControlPr xmlns="http://schemas.microsoft.com/office/spreadsheetml/2009/9/main" objectType="CheckBox" fmlaLink="'Uträkningar mm'!$H$55" lockText="1"/>
</file>

<file path=xl/ctrlProps/ctrlProp31.xml><?xml version="1.0" encoding="utf-8"?>
<formControlPr xmlns="http://schemas.microsoft.com/office/spreadsheetml/2009/9/main" objectType="CheckBox" fmlaLink="'Uträkningar mm'!$D$43" lockText="1"/>
</file>

<file path=xl/ctrlProps/ctrlProp32.xml><?xml version="1.0" encoding="utf-8"?>
<formControlPr xmlns="http://schemas.microsoft.com/office/spreadsheetml/2009/9/main" objectType="CheckBox" fmlaLink="'Uträkningar mm'!$D$44" lockText="1"/>
</file>

<file path=xl/ctrlProps/ctrlProp33.xml><?xml version="1.0" encoding="utf-8"?>
<formControlPr xmlns="http://schemas.microsoft.com/office/spreadsheetml/2009/9/main" objectType="CheckBox" fmlaLink="'Uträkningar mm'!$D$45" lockText="1"/>
</file>

<file path=xl/ctrlProps/ctrlProp34.xml><?xml version="1.0" encoding="utf-8"?>
<formControlPr xmlns="http://schemas.microsoft.com/office/spreadsheetml/2009/9/main" objectType="CheckBox" fmlaLink="'Uträkningar mm'!$H$43" lockText="1"/>
</file>

<file path=xl/ctrlProps/ctrlProp35.xml><?xml version="1.0" encoding="utf-8"?>
<formControlPr xmlns="http://schemas.microsoft.com/office/spreadsheetml/2009/9/main" objectType="CheckBox" fmlaLink="'Uträkningar mm'!$H$44" lockText="1"/>
</file>

<file path=xl/ctrlProps/ctrlProp36.xml><?xml version="1.0" encoding="utf-8"?>
<formControlPr xmlns="http://schemas.microsoft.com/office/spreadsheetml/2009/9/main" objectType="CheckBox" fmlaLink="'Uträkningar mm'!$H$45" lockText="1"/>
</file>

<file path=xl/ctrlProps/ctrlProp37.xml><?xml version="1.0" encoding="utf-8"?>
<formControlPr xmlns="http://schemas.microsoft.com/office/spreadsheetml/2009/9/main" objectType="CheckBox" fmlaLink="'Uträkningar mm'!$D$48" lockText="1"/>
</file>

<file path=xl/ctrlProps/ctrlProp38.xml><?xml version="1.0" encoding="utf-8"?>
<formControlPr xmlns="http://schemas.microsoft.com/office/spreadsheetml/2009/9/main" objectType="CheckBox" fmlaLink="'Uträkningar mm'!$D$49" lockText="1"/>
</file>

<file path=xl/ctrlProps/ctrlProp39.xml><?xml version="1.0" encoding="utf-8"?>
<formControlPr xmlns="http://schemas.microsoft.com/office/spreadsheetml/2009/9/main" objectType="CheckBox" fmlaLink="'Uträkningar mm'!$D$50" lockText="1"/>
</file>

<file path=xl/ctrlProps/ctrlProp4.xml><?xml version="1.0" encoding="utf-8"?>
<formControlPr xmlns="http://schemas.microsoft.com/office/spreadsheetml/2009/9/main" objectType="CheckBox" fmlaLink="'Uträkningar mm'!$D$28" lockText="1"/>
</file>

<file path=xl/ctrlProps/ctrlProp40.xml><?xml version="1.0" encoding="utf-8"?>
<formControlPr xmlns="http://schemas.microsoft.com/office/spreadsheetml/2009/9/main" objectType="CheckBox" fmlaLink="'Uträkningar mm'!$H$48" lockText="1"/>
</file>

<file path=xl/ctrlProps/ctrlProp41.xml><?xml version="1.0" encoding="utf-8"?>
<formControlPr xmlns="http://schemas.microsoft.com/office/spreadsheetml/2009/9/main" objectType="CheckBox" fmlaLink="'Uträkningar mm'!$H$49" lockText="1"/>
</file>

<file path=xl/ctrlProps/ctrlProp42.xml><?xml version="1.0" encoding="utf-8"?>
<formControlPr xmlns="http://schemas.microsoft.com/office/spreadsheetml/2009/9/main" objectType="CheckBox" fmlaLink="'Uträkningar mm'!$H$50" lockText="1"/>
</file>

<file path=xl/ctrlProps/ctrlProp43.xml><?xml version="1.0" encoding="utf-8"?>
<formControlPr xmlns="http://schemas.microsoft.com/office/spreadsheetml/2009/9/main" objectType="CheckBox" fmlaLink="'Uträkningar mm'!$D$58" lockText="1"/>
</file>

<file path=xl/ctrlProps/ctrlProp44.xml><?xml version="1.0" encoding="utf-8"?>
<formControlPr xmlns="http://schemas.microsoft.com/office/spreadsheetml/2009/9/main" objectType="CheckBox" fmlaLink="'Uträkningar mm'!$D$59" lockText="1"/>
</file>

<file path=xl/ctrlProps/ctrlProp45.xml><?xml version="1.0" encoding="utf-8"?>
<formControlPr xmlns="http://schemas.microsoft.com/office/spreadsheetml/2009/9/main" objectType="CheckBox" fmlaLink="'Uträkningar mm'!$D$60" lockText="1"/>
</file>

<file path=xl/ctrlProps/ctrlProp46.xml><?xml version="1.0" encoding="utf-8"?>
<formControlPr xmlns="http://schemas.microsoft.com/office/spreadsheetml/2009/9/main" objectType="CheckBox" fmlaLink="'Uträkningar mm'!$H$58" lockText="1"/>
</file>

<file path=xl/ctrlProps/ctrlProp47.xml><?xml version="1.0" encoding="utf-8"?>
<formControlPr xmlns="http://schemas.microsoft.com/office/spreadsheetml/2009/9/main" objectType="CheckBox" fmlaLink="'Uträkningar mm'!$H$59" lockText="1"/>
</file>

<file path=xl/ctrlProps/ctrlProp48.xml><?xml version="1.0" encoding="utf-8"?>
<formControlPr xmlns="http://schemas.microsoft.com/office/spreadsheetml/2009/9/main" objectType="CheckBox" fmlaLink="'Uträkningar mm'!$H$60" lockText="1"/>
</file>

<file path=xl/ctrlProps/ctrlProp49.xml><?xml version="1.0" encoding="utf-8"?>
<formControlPr xmlns="http://schemas.microsoft.com/office/spreadsheetml/2009/9/main" objectType="CheckBox" fmlaLink="'Uträkningar mm'!$D$63" lockText="1"/>
</file>

<file path=xl/ctrlProps/ctrlProp5.xml><?xml version="1.0" encoding="utf-8"?>
<formControlPr xmlns="http://schemas.microsoft.com/office/spreadsheetml/2009/9/main" objectType="CheckBox" fmlaLink="'Uträkningar mm'!$D$33" lockText="1"/>
</file>

<file path=xl/ctrlProps/ctrlProp50.xml><?xml version="1.0" encoding="utf-8"?>
<formControlPr xmlns="http://schemas.microsoft.com/office/spreadsheetml/2009/9/main" objectType="CheckBox" fmlaLink="'Uträkningar mm'!$D$64" lockText="1"/>
</file>

<file path=xl/ctrlProps/ctrlProp51.xml><?xml version="1.0" encoding="utf-8"?>
<formControlPr xmlns="http://schemas.microsoft.com/office/spreadsheetml/2009/9/main" objectType="CheckBox" fmlaLink="'Uträkningar mm'!$D$65" lockText="1"/>
</file>

<file path=xl/ctrlProps/ctrlProp52.xml><?xml version="1.0" encoding="utf-8"?>
<formControlPr xmlns="http://schemas.microsoft.com/office/spreadsheetml/2009/9/main" objectType="CheckBox" fmlaLink="'Uträkningar mm'!$H$63" lockText="1"/>
</file>

<file path=xl/ctrlProps/ctrlProp53.xml><?xml version="1.0" encoding="utf-8"?>
<formControlPr xmlns="http://schemas.microsoft.com/office/spreadsheetml/2009/9/main" objectType="CheckBox" fmlaLink="'Uträkningar mm'!$H$64" lockText="1"/>
</file>

<file path=xl/ctrlProps/ctrlProp54.xml><?xml version="1.0" encoding="utf-8"?>
<formControlPr xmlns="http://schemas.microsoft.com/office/spreadsheetml/2009/9/main" objectType="CheckBox" fmlaLink="'Uträkningar mm'!$H$65" lockText="1"/>
</file>

<file path=xl/ctrlProps/ctrlProp6.xml><?xml version="1.0" encoding="utf-8"?>
<formControlPr xmlns="http://schemas.microsoft.com/office/spreadsheetml/2009/9/main" objectType="CheckBox" fmlaLink="'Uträkningar mm'!$D$38" lockText="1"/>
</file>

<file path=xl/ctrlProps/ctrlProp7.xml><?xml version="1.0" encoding="utf-8"?>
<formControlPr xmlns="http://schemas.microsoft.com/office/spreadsheetml/2009/9/main" objectType="CheckBox" fmlaLink="'Uträkningar mm'!$D$53" lockText="1"/>
</file>

<file path=xl/ctrlProps/ctrlProp8.xml><?xml version="1.0" encoding="utf-8"?>
<formControlPr xmlns="http://schemas.microsoft.com/office/spreadsheetml/2009/9/main" objectType="CheckBox" fmlaLink="'Uträkningar mm'!$D$29" lockText="1"/>
</file>

<file path=xl/ctrlProps/ctrlProp9.xml><?xml version="1.0" encoding="utf-8"?>
<formControlPr xmlns="http://schemas.microsoft.com/office/spreadsheetml/2009/9/main" objectType="CheckBox" fmlaLink="'Uträkningar mm'!$D$34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120650</xdr:rowOff>
        </xdr:from>
        <xdr:to>
          <xdr:col>2</xdr:col>
          <xdr:colOff>717550</xdr:colOff>
          <xdr:row>28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120650</xdr:rowOff>
        </xdr:from>
        <xdr:to>
          <xdr:col>2</xdr:col>
          <xdr:colOff>717550</xdr:colOff>
          <xdr:row>29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120650</xdr:rowOff>
        </xdr:from>
        <xdr:to>
          <xdr:col>2</xdr:col>
          <xdr:colOff>685800</xdr:colOff>
          <xdr:row>27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146050</xdr:rowOff>
        </xdr:from>
        <xdr:to>
          <xdr:col>2</xdr:col>
          <xdr:colOff>685800</xdr:colOff>
          <xdr:row>33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120650</xdr:rowOff>
        </xdr:from>
        <xdr:to>
          <xdr:col>2</xdr:col>
          <xdr:colOff>685800</xdr:colOff>
          <xdr:row>38</xdr:row>
          <xdr:rowOff>158750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114300</xdr:rowOff>
        </xdr:from>
        <xdr:to>
          <xdr:col>2</xdr:col>
          <xdr:colOff>685800</xdr:colOff>
          <xdr:row>44</xdr:row>
          <xdr:rowOff>158750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120650</xdr:rowOff>
        </xdr:from>
        <xdr:to>
          <xdr:col>2</xdr:col>
          <xdr:colOff>685800</xdr:colOff>
          <xdr:row>71</xdr:row>
          <xdr:rowOff>158750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146050</xdr:rowOff>
        </xdr:from>
        <xdr:to>
          <xdr:col>2</xdr:col>
          <xdr:colOff>717550</xdr:colOff>
          <xdr:row>34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120650</xdr:rowOff>
        </xdr:from>
        <xdr:to>
          <xdr:col>2</xdr:col>
          <xdr:colOff>717550</xdr:colOff>
          <xdr:row>39</xdr:row>
          <xdr:rowOff>158750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114300</xdr:rowOff>
        </xdr:from>
        <xdr:to>
          <xdr:col>2</xdr:col>
          <xdr:colOff>717550</xdr:colOff>
          <xdr:row>45</xdr:row>
          <xdr:rowOff>158750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120650</xdr:rowOff>
        </xdr:from>
        <xdr:to>
          <xdr:col>2</xdr:col>
          <xdr:colOff>717550</xdr:colOff>
          <xdr:row>72</xdr:row>
          <xdr:rowOff>158750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146050</xdr:rowOff>
        </xdr:from>
        <xdr:to>
          <xdr:col>2</xdr:col>
          <xdr:colOff>717550</xdr:colOff>
          <xdr:row>35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120650</xdr:rowOff>
        </xdr:from>
        <xdr:to>
          <xdr:col>2</xdr:col>
          <xdr:colOff>717550</xdr:colOff>
          <xdr:row>40</xdr:row>
          <xdr:rowOff>158750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114300</xdr:rowOff>
        </xdr:from>
        <xdr:to>
          <xdr:col>2</xdr:col>
          <xdr:colOff>717550</xdr:colOff>
          <xdr:row>46</xdr:row>
          <xdr:rowOff>158750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120650</xdr:rowOff>
        </xdr:from>
        <xdr:to>
          <xdr:col>2</xdr:col>
          <xdr:colOff>717550</xdr:colOff>
          <xdr:row>73</xdr:row>
          <xdr:rowOff>158750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120650</xdr:rowOff>
        </xdr:from>
        <xdr:to>
          <xdr:col>5</xdr:col>
          <xdr:colOff>914400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120650</xdr:rowOff>
        </xdr:from>
        <xdr:to>
          <xdr:col>5</xdr:col>
          <xdr:colOff>914400</xdr:colOff>
          <xdr:row>28</xdr:row>
          <xdr:rowOff>6350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120650</xdr:rowOff>
        </xdr:from>
        <xdr:to>
          <xdr:col>5</xdr:col>
          <xdr:colOff>914400</xdr:colOff>
          <xdr:row>29</xdr:row>
          <xdr:rowOff>6350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120650</xdr:rowOff>
        </xdr:from>
        <xdr:to>
          <xdr:col>5</xdr:col>
          <xdr:colOff>914400</xdr:colOff>
          <xdr:row>33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146050</xdr:rowOff>
        </xdr:from>
        <xdr:to>
          <xdr:col>5</xdr:col>
          <xdr:colOff>914400</xdr:colOff>
          <xdr:row>39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120650</xdr:rowOff>
        </xdr:from>
        <xdr:to>
          <xdr:col>5</xdr:col>
          <xdr:colOff>914400</xdr:colOff>
          <xdr:row>45</xdr:row>
          <xdr:rowOff>6350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120650</xdr:rowOff>
        </xdr:from>
        <xdr:to>
          <xdr:col>5</xdr:col>
          <xdr:colOff>914400</xdr:colOff>
          <xdr:row>71</xdr:row>
          <xdr:rowOff>158750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120650</xdr:rowOff>
        </xdr:from>
        <xdr:to>
          <xdr:col>5</xdr:col>
          <xdr:colOff>908050</xdr:colOff>
          <xdr:row>34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146050</xdr:rowOff>
        </xdr:from>
        <xdr:to>
          <xdr:col>5</xdr:col>
          <xdr:colOff>914400</xdr:colOff>
          <xdr:row>40</xdr:row>
          <xdr:rowOff>6350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120650</xdr:rowOff>
        </xdr:from>
        <xdr:to>
          <xdr:col>5</xdr:col>
          <xdr:colOff>914400</xdr:colOff>
          <xdr:row>46</xdr:row>
          <xdr:rowOff>6350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120650</xdr:rowOff>
        </xdr:from>
        <xdr:to>
          <xdr:col>5</xdr:col>
          <xdr:colOff>914400</xdr:colOff>
          <xdr:row>72</xdr:row>
          <xdr:rowOff>158750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120650</xdr:rowOff>
        </xdr:from>
        <xdr:to>
          <xdr:col>5</xdr:col>
          <xdr:colOff>914400</xdr:colOff>
          <xdr:row>35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146050</xdr:rowOff>
        </xdr:from>
        <xdr:to>
          <xdr:col>5</xdr:col>
          <xdr:colOff>914400</xdr:colOff>
          <xdr:row>41</xdr:row>
          <xdr:rowOff>6350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120650</xdr:rowOff>
        </xdr:from>
        <xdr:to>
          <xdr:col>5</xdr:col>
          <xdr:colOff>914400</xdr:colOff>
          <xdr:row>47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120650</xdr:rowOff>
        </xdr:from>
        <xdr:to>
          <xdr:col>5</xdr:col>
          <xdr:colOff>914400</xdr:colOff>
          <xdr:row>73</xdr:row>
          <xdr:rowOff>158750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158750</xdr:rowOff>
        </xdr:from>
        <xdr:to>
          <xdr:col>2</xdr:col>
          <xdr:colOff>685800</xdr:colOff>
          <xdr:row>51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158750</xdr:rowOff>
        </xdr:from>
        <xdr:to>
          <xdr:col>2</xdr:col>
          <xdr:colOff>717550</xdr:colOff>
          <xdr:row>52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158750</xdr:rowOff>
        </xdr:from>
        <xdr:to>
          <xdr:col>2</xdr:col>
          <xdr:colOff>717550</xdr:colOff>
          <xdr:row>53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158750</xdr:rowOff>
        </xdr:from>
        <xdr:to>
          <xdr:col>5</xdr:col>
          <xdr:colOff>914400</xdr:colOff>
          <xdr:row>51</xdr:row>
          <xdr:rowOff>6350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158750</xdr:rowOff>
        </xdr:from>
        <xdr:to>
          <xdr:col>5</xdr:col>
          <xdr:colOff>914400</xdr:colOff>
          <xdr:row>52</xdr:row>
          <xdr:rowOff>6350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158750</xdr:rowOff>
        </xdr:from>
        <xdr:to>
          <xdr:col>5</xdr:col>
          <xdr:colOff>914400</xdr:colOff>
          <xdr:row>53</xdr:row>
          <xdr:rowOff>6350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158750</xdr:rowOff>
        </xdr:from>
        <xdr:to>
          <xdr:col>2</xdr:col>
          <xdr:colOff>685800</xdr:colOff>
          <xdr:row>66</xdr:row>
          <xdr:rowOff>6350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158750</xdr:rowOff>
        </xdr:from>
        <xdr:to>
          <xdr:col>2</xdr:col>
          <xdr:colOff>717550</xdr:colOff>
          <xdr:row>67</xdr:row>
          <xdr:rowOff>6350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158750</xdr:rowOff>
        </xdr:from>
        <xdr:to>
          <xdr:col>2</xdr:col>
          <xdr:colOff>717550</xdr:colOff>
          <xdr:row>68</xdr:row>
          <xdr:rowOff>6350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158750</xdr:rowOff>
        </xdr:from>
        <xdr:to>
          <xdr:col>5</xdr:col>
          <xdr:colOff>914400</xdr:colOff>
          <xdr:row>66</xdr:row>
          <xdr:rowOff>6350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158750</xdr:rowOff>
        </xdr:from>
        <xdr:to>
          <xdr:col>5</xdr:col>
          <xdr:colOff>914400</xdr:colOff>
          <xdr:row>67</xdr:row>
          <xdr:rowOff>6350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158750</xdr:rowOff>
        </xdr:from>
        <xdr:to>
          <xdr:col>5</xdr:col>
          <xdr:colOff>914400</xdr:colOff>
          <xdr:row>68</xdr:row>
          <xdr:rowOff>6350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114300</xdr:rowOff>
        </xdr:from>
        <xdr:to>
          <xdr:col>2</xdr:col>
          <xdr:colOff>685800</xdr:colOff>
          <xdr:row>77</xdr:row>
          <xdr:rowOff>158750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114300</xdr:rowOff>
        </xdr:from>
        <xdr:to>
          <xdr:col>2</xdr:col>
          <xdr:colOff>717550</xdr:colOff>
          <xdr:row>78</xdr:row>
          <xdr:rowOff>158750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78</xdr:row>
          <xdr:rowOff>114300</xdr:rowOff>
        </xdr:from>
        <xdr:to>
          <xdr:col>2</xdr:col>
          <xdr:colOff>717550</xdr:colOff>
          <xdr:row>79</xdr:row>
          <xdr:rowOff>158750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120650</xdr:rowOff>
        </xdr:from>
        <xdr:to>
          <xdr:col>5</xdr:col>
          <xdr:colOff>914400</xdr:colOff>
          <xdr:row>78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120650</xdr:rowOff>
        </xdr:from>
        <xdr:to>
          <xdr:col>5</xdr:col>
          <xdr:colOff>914400</xdr:colOff>
          <xdr:row>79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120650</xdr:rowOff>
        </xdr:from>
        <xdr:to>
          <xdr:col>5</xdr:col>
          <xdr:colOff>914400</xdr:colOff>
          <xdr:row>80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120650</xdr:rowOff>
        </xdr:from>
        <xdr:to>
          <xdr:col>2</xdr:col>
          <xdr:colOff>685800</xdr:colOff>
          <xdr:row>84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120650</xdr:rowOff>
        </xdr:from>
        <xdr:to>
          <xdr:col>2</xdr:col>
          <xdr:colOff>717550</xdr:colOff>
          <xdr:row>85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120650</xdr:rowOff>
        </xdr:from>
        <xdr:to>
          <xdr:col>2</xdr:col>
          <xdr:colOff>717550</xdr:colOff>
          <xdr:row>86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Middag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120650</xdr:rowOff>
        </xdr:from>
        <xdr:to>
          <xdr:col>5</xdr:col>
          <xdr:colOff>914400</xdr:colOff>
          <xdr:row>84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Frukost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120650</xdr:rowOff>
        </xdr:from>
        <xdr:to>
          <xdr:col>5</xdr:col>
          <xdr:colOff>914400</xdr:colOff>
          <xdr:row>85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120650</xdr:rowOff>
        </xdr:from>
        <xdr:to>
          <xdr:col>5</xdr:col>
          <xdr:colOff>914400</xdr:colOff>
          <xdr:row>86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Middag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G117"/>
  <sheetViews>
    <sheetView showGridLines="0" showZeros="0" tabSelected="1" showRuler="0" showOutlineSymbols="0" view="pageLayout" zoomScaleNormal="100" zoomScaleSheetLayoutView="100" workbookViewId="0">
      <selection activeCell="K30" sqref="K30"/>
    </sheetView>
  </sheetViews>
  <sheetFormatPr defaultColWidth="8.90625" defaultRowHeight="14.5" x14ac:dyDescent="0.35"/>
  <cols>
    <col min="1" max="1" width="3" style="131" customWidth="1"/>
    <col min="2" max="2" width="3" style="132" customWidth="1"/>
    <col min="3" max="3" width="14.6328125" style="131" customWidth="1"/>
    <col min="4" max="7" width="15.90625" style="131" customWidth="1"/>
    <col min="8" max="8" width="12.453125" style="131" bestFit="1" customWidth="1"/>
    <col min="9" max="16384" width="8.90625" style="131"/>
  </cols>
  <sheetData>
    <row r="1" spans="2:7" s="67" customFormat="1" ht="24.75" customHeight="1" x14ac:dyDescent="0.55000000000000004">
      <c r="B1" s="159" t="s">
        <v>302</v>
      </c>
      <c r="C1" s="160"/>
      <c r="D1" s="160"/>
      <c r="E1" s="160"/>
      <c r="F1" s="160"/>
      <c r="G1" s="160"/>
    </row>
    <row r="2" spans="2:7" s="67" customFormat="1" ht="6" customHeight="1" x14ac:dyDescent="0.35">
      <c r="B2" s="68"/>
      <c r="C2" s="69"/>
      <c r="D2" s="69"/>
      <c r="E2" s="69"/>
      <c r="F2" s="69"/>
      <c r="G2" s="69"/>
    </row>
    <row r="3" spans="2:7" s="67" customFormat="1" ht="15" customHeight="1" x14ac:dyDescent="0.35">
      <c r="B3" s="153" t="s">
        <v>73</v>
      </c>
      <c r="C3" s="154"/>
      <c r="D3" s="152"/>
      <c r="E3" s="152"/>
      <c r="F3" s="70" t="s">
        <v>59</v>
      </c>
      <c r="G3" s="22"/>
    </row>
    <row r="4" spans="2:7" s="67" customFormat="1" ht="15" customHeight="1" x14ac:dyDescent="0.35">
      <c r="B4" s="153" t="s">
        <v>74</v>
      </c>
      <c r="C4" s="154"/>
      <c r="D4" s="152"/>
      <c r="E4" s="152"/>
      <c r="F4" s="70" t="s">
        <v>72</v>
      </c>
      <c r="G4" s="66"/>
    </row>
    <row r="5" spans="2:7" s="67" customFormat="1" ht="15" customHeight="1" x14ac:dyDescent="0.35">
      <c r="B5" s="71" t="s">
        <v>77</v>
      </c>
      <c r="C5" s="72"/>
      <c r="D5" s="158"/>
      <c r="E5" s="158"/>
      <c r="F5" s="70" t="s">
        <v>10</v>
      </c>
      <c r="G5" s="73" t="str">
        <f>IF((D5=0),"",(LOOKUP(D5,Utlandstraktamenten!B6:C174)))</f>
        <v/>
      </c>
    </row>
    <row r="6" spans="2:7" s="67" customFormat="1" ht="15" customHeight="1" x14ac:dyDescent="0.35">
      <c r="B6" s="153" t="s">
        <v>75</v>
      </c>
      <c r="C6" s="154"/>
      <c r="D6" s="152"/>
      <c r="E6" s="152"/>
      <c r="F6" s="152"/>
      <c r="G6" s="152"/>
    </row>
    <row r="7" spans="2:7" s="67" customFormat="1" ht="15" customHeight="1" x14ac:dyDescent="0.35"/>
    <row r="8" spans="2:7" s="67" customFormat="1" x14ac:dyDescent="0.35">
      <c r="D8" s="74" t="s">
        <v>176</v>
      </c>
      <c r="E8" s="74"/>
      <c r="F8" s="75" t="s">
        <v>178</v>
      </c>
      <c r="G8" s="76"/>
    </row>
    <row r="9" spans="2:7" s="67" customFormat="1" x14ac:dyDescent="0.35">
      <c r="B9" s="77" t="s">
        <v>168</v>
      </c>
      <c r="C9" s="78"/>
      <c r="D9" s="70" t="s">
        <v>0</v>
      </c>
      <c r="E9" s="70" t="s">
        <v>1</v>
      </c>
      <c r="F9" s="79" t="s">
        <v>0</v>
      </c>
      <c r="G9" s="70" t="s">
        <v>1</v>
      </c>
    </row>
    <row r="10" spans="2:7" s="67" customFormat="1" x14ac:dyDescent="0.35">
      <c r="B10" s="80" t="s">
        <v>167</v>
      </c>
      <c r="C10" s="81"/>
      <c r="D10" s="27"/>
      <c r="E10" s="23"/>
      <c r="F10" s="27"/>
      <c r="G10" s="23"/>
    </row>
    <row r="11" spans="2:7" s="67" customFormat="1" ht="6" customHeight="1" x14ac:dyDescent="0.35">
      <c r="D11" s="82"/>
      <c r="E11" s="83"/>
      <c r="F11" s="83"/>
      <c r="G11" s="83"/>
    </row>
    <row r="12" spans="2:7" s="67" customFormat="1" ht="15" customHeight="1" x14ac:dyDescent="0.35">
      <c r="D12" s="74" t="s">
        <v>175</v>
      </c>
      <c r="E12" s="74">
        <f>D5</f>
        <v>0</v>
      </c>
      <c r="F12" s="75" t="s">
        <v>168</v>
      </c>
      <c r="G12" s="76">
        <f>D5</f>
        <v>0</v>
      </c>
    </row>
    <row r="13" spans="2:7" s="67" customFormat="1" x14ac:dyDescent="0.35">
      <c r="B13" s="77" t="s">
        <v>175</v>
      </c>
      <c r="C13" s="78"/>
      <c r="D13" s="70" t="s">
        <v>0</v>
      </c>
      <c r="E13" s="70" t="s">
        <v>1</v>
      </c>
      <c r="F13" s="79" t="s">
        <v>0</v>
      </c>
      <c r="G13" s="70" t="s">
        <v>1</v>
      </c>
    </row>
    <row r="14" spans="2:7" s="67" customFormat="1" x14ac:dyDescent="0.35">
      <c r="B14" s="172">
        <f>D5</f>
        <v>0</v>
      </c>
      <c r="C14" s="173"/>
      <c r="D14" s="27"/>
      <c r="E14" s="23"/>
      <c r="F14" s="27"/>
      <c r="G14" s="23"/>
    </row>
    <row r="15" spans="2:7" s="67" customFormat="1" ht="6" customHeight="1" x14ac:dyDescent="0.35">
      <c r="D15" s="82"/>
      <c r="E15" s="83"/>
      <c r="F15" s="83"/>
      <c r="G15" s="82"/>
    </row>
    <row r="16" spans="2:7" s="67" customFormat="1" ht="15" customHeight="1" x14ac:dyDescent="0.35">
      <c r="D16" s="74" t="s">
        <v>177</v>
      </c>
      <c r="E16" s="75"/>
      <c r="F16" s="75" t="s">
        <v>179</v>
      </c>
      <c r="G16" s="84"/>
    </row>
    <row r="17" spans="2:7" s="67" customFormat="1" ht="15" customHeight="1" x14ac:dyDescent="0.35">
      <c r="B17" s="77" t="s">
        <v>166</v>
      </c>
      <c r="C17" s="78"/>
      <c r="D17" s="70" t="s">
        <v>0</v>
      </c>
      <c r="E17" s="70" t="s">
        <v>1</v>
      </c>
      <c r="F17" s="79" t="s">
        <v>0</v>
      </c>
      <c r="G17" s="70" t="s">
        <v>1</v>
      </c>
    </row>
    <row r="18" spans="2:7" s="67" customFormat="1" ht="15" customHeight="1" x14ac:dyDescent="0.35">
      <c r="B18" s="172">
        <f>D5</f>
        <v>0</v>
      </c>
      <c r="C18" s="173"/>
      <c r="D18" s="27"/>
      <c r="E18" s="23"/>
      <c r="F18" s="26">
        <f>D18</f>
        <v>0</v>
      </c>
      <c r="G18" s="23"/>
    </row>
    <row r="19" spans="2:7" s="67" customFormat="1" ht="6" customHeight="1" x14ac:dyDescent="0.35">
      <c r="D19" s="85"/>
      <c r="E19" s="86"/>
      <c r="F19" s="86"/>
      <c r="G19" s="85"/>
    </row>
    <row r="20" spans="2:7" s="67" customFormat="1" ht="15" customHeight="1" x14ac:dyDescent="0.35">
      <c r="B20" s="155" t="s">
        <v>218</v>
      </c>
      <c r="C20" s="156"/>
      <c r="D20" s="157"/>
      <c r="E20" s="25"/>
      <c r="F20" s="171" t="str">
        <f>CONCATENATE("Traktamente i Sverige ",('Uträkningar mm'!U38)," dagar")</f>
        <v>Traktamente i Sverige 0 dagar</v>
      </c>
      <c r="G20" s="171"/>
    </row>
    <row r="21" spans="2:7" s="67" customFormat="1" ht="15" customHeight="1" x14ac:dyDescent="0.35">
      <c r="B21" s="155" t="str">
        <f>CONCATENATE("Nattraktamente för nätter i ",D5)</f>
        <v xml:space="preserve">Nattraktamente för nätter i </v>
      </c>
      <c r="C21" s="156"/>
      <c r="D21" s="157"/>
      <c r="E21" s="25"/>
      <c r="F21" s="171" t="str">
        <f>CONCATENATE("Traktamente i ",D5," ",('Uträkningar mm'!U39)," dagar")</f>
        <v>Traktamente i  0 dagar</v>
      </c>
      <c r="G21" s="171"/>
    </row>
    <row r="22" spans="2:7" s="67" customFormat="1" ht="6" customHeight="1" x14ac:dyDescent="0.35">
      <c r="D22" s="85"/>
      <c r="G22" s="85"/>
    </row>
    <row r="23" spans="2:7" s="67" customFormat="1" x14ac:dyDescent="0.35">
      <c r="B23" s="70" t="s">
        <v>47</v>
      </c>
      <c r="C23" s="70"/>
      <c r="D23" s="87" t="s">
        <v>71</v>
      </c>
      <c r="E23" s="66"/>
      <c r="F23" s="88" t="s">
        <v>289</v>
      </c>
      <c r="G23" s="24"/>
    </row>
    <row r="24" spans="2:7" s="67" customFormat="1" ht="6" customHeight="1" x14ac:dyDescent="0.35">
      <c r="D24" s="85"/>
      <c r="E24" s="67">
        <v>3</v>
      </c>
      <c r="G24" s="86"/>
    </row>
    <row r="25" spans="2:7" s="67" customFormat="1" ht="14.15" customHeight="1" x14ac:dyDescent="0.35">
      <c r="C25" s="81"/>
      <c r="D25" s="89" t="s">
        <v>10</v>
      </c>
      <c r="E25" s="90" t="s">
        <v>55</v>
      </c>
    </row>
    <row r="26" spans="2:7" s="67" customFormat="1" ht="14.15" customHeight="1" x14ac:dyDescent="0.35">
      <c r="B26" s="162" t="str">
        <f>IF(D10&gt;0,'Uträkningar mm'!P31,"Dag 1")</f>
        <v>Dag 1</v>
      </c>
      <c r="C26" s="91" t="s">
        <v>70</v>
      </c>
      <c r="D26" s="92" t="str">
        <f>IF('Uträkningar mm'!I17=0," ",'Uträkningar mm'!I17)</f>
        <v xml:space="preserve"> </v>
      </c>
      <c r="E26" s="93"/>
      <c r="F26" s="94" t="s">
        <v>69</v>
      </c>
    </row>
    <row r="27" spans="2:7" s="67" customFormat="1" ht="14.15" customHeight="1" x14ac:dyDescent="0.35">
      <c r="B27" s="163"/>
      <c r="C27" s="95"/>
      <c r="D27" s="151" t="str">
        <f>IF(($D$10+$E$10)=0," ",IF('Uträkningar mm'!D23=TRUE,(-1*'Uträkningar mm'!E23)," "))</f>
        <v xml:space="preserve"> </v>
      </c>
      <c r="E27" s="92" t="str">
        <f>IF('Uträkningar mm'!H23=TRUE,('Skatteregler mm'!$D$60)," ")</f>
        <v xml:space="preserve"> </v>
      </c>
      <c r="F27" s="95"/>
    </row>
    <row r="28" spans="2:7" s="67" customFormat="1" ht="14.15" customHeight="1" x14ac:dyDescent="0.35">
      <c r="B28" s="163"/>
      <c r="C28" s="95"/>
      <c r="D28" s="151" t="str">
        <f>IF(($D$10+$E$10)=0," ",IF('Uträkningar mm'!D24=TRUE,(-1*'Uträkningar mm'!E24)," "))</f>
        <v xml:space="preserve"> </v>
      </c>
      <c r="E28" s="92" t="str">
        <f>IF('Uträkningar mm'!H24=TRUE,('Skatteregler mm'!$D$61)," ")</f>
        <v xml:space="preserve"> </v>
      </c>
      <c r="F28" s="95"/>
    </row>
    <row r="29" spans="2:7" s="67" customFormat="1" ht="14.15" customHeight="1" x14ac:dyDescent="0.35">
      <c r="B29" s="163"/>
      <c r="C29" s="96"/>
      <c r="D29" s="92" t="str">
        <f>IF(($D$10+$E$10)=0," ",IF('Uträkningar mm'!D25=TRUE,(-1*'Uträkningar mm'!E25)," "))</f>
        <v xml:space="preserve"> </v>
      </c>
      <c r="E29" s="92" t="str">
        <f>IF('Uträkningar mm'!H25=TRUE,('Skatteregler mm'!$D$62)," ")</f>
        <v xml:space="preserve"> </v>
      </c>
      <c r="F29" s="96"/>
    </row>
    <row r="30" spans="2:7" s="67" customFormat="1" ht="14.15" customHeight="1" x14ac:dyDescent="0.35">
      <c r="B30" s="164"/>
      <c r="C30" s="97" t="s">
        <v>39</v>
      </c>
      <c r="D30" s="98" t="str">
        <f>IF((SUM(D26:D29))=0," ",(D26+'Uträkningar mm'!$G$27))</f>
        <v xml:space="preserve"> </v>
      </c>
      <c r="E30" s="98" t="str">
        <f>IF((SUM(E26:E29))=0," ",SUM(E26:E29))</f>
        <v xml:space="preserve"> </v>
      </c>
    </row>
    <row r="31" spans="2:7" s="67" customFormat="1" ht="6" customHeight="1" x14ac:dyDescent="0.35">
      <c r="B31" s="99"/>
      <c r="C31" s="100"/>
    </row>
    <row r="32" spans="2:7" s="67" customFormat="1" ht="14.15" customHeight="1" x14ac:dyDescent="0.35">
      <c r="B32" s="162" t="str">
        <f>IF(D10=0,"Dag 2",IF('Uträkningar mm'!O37&gt;0,'Uträkningar mm'!P37,"Dag 2"))</f>
        <v>Dag 2</v>
      </c>
      <c r="C32" s="91" t="s">
        <v>70</v>
      </c>
      <c r="D32" s="92" t="str">
        <f ca="1">'Uträkningar mm'!B32</f>
        <v xml:space="preserve"> </v>
      </c>
      <c r="E32" s="70"/>
      <c r="F32" s="94" t="s">
        <v>69</v>
      </c>
    </row>
    <row r="33" spans="2:6" s="67" customFormat="1" ht="14.15" customHeight="1" x14ac:dyDescent="0.35">
      <c r="B33" s="163"/>
      <c r="C33" s="95"/>
      <c r="D33" s="92" t="str">
        <f>IF('Uträkningar mm'!D28=TRUE,(-1*'Uträkningar mm'!E28)," ")</f>
        <v xml:space="preserve"> </v>
      </c>
      <c r="E33" s="92" t="str">
        <f>IF('Uträkningar mm'!H28=TRUE,('Skatteregler mm'!$D$60)," ")</f>
        <v xml:space="preserve"> </v>
      </c>
      <c r="F33" s="95"/>
    </row>
    <row r="34" spans="2:6" s="67" customFormat="1" ht="14.15" customHeight="1" x14ac:dyDescent="0.35">
      <c r="B34" s="163"/>
      <c r="C34" s="95"/>
      <c r="D34" s="92" t="str">
        <f>IF('Uträkningar mm'!D29=TRUE,(-1*'Uträkningar mm'!E29)," ")</f>
        <v xml:space="preserve"> </v>
      </c>
      <c r="E34" s="92" t="str">
        <f>IF('Uträkningar mm'!H29=TRUE,('Skatteregler mm'!$D$61)," ")</f>
        <v xml:space="preserve"> </v>
      </c>
      <c r="F34" s="95"/>
    </row>
    <row r="35" spans="2:6" s="67" customFormat="1" ht="14.15" customHeight="1" x14ac:dyDescent="0.35">
      <c r="B35" s="163"/>
      <c r="C35" s="96"/>
      <c r="D35" s="92" t="str">
        <f>IF('Uträkningar mm'!D30=TRUE,(-1*'Uträkningar mm'!E30)," ")</f>
        <v xml:space="preserve"> </v>
      </c>
      <c r="E35" s="92" t="str">
        <f>IF('Uträkningar mm'!H30=TRUE,('Skatteregler mm'!$D$62)," ")</f>
        <v xml:space="preserve"> </v>
      </c>
      <c r="F35" s="96"/>
    </row>
    <row r="36" spans="2:6" s="67" customFormat="1" ht="14.15" customHeight="1" x14ac:dyDescent="0.35">
      <c r="B36" s="164"/>
      <c r="C36" s="101" t="s">
        <v>39</v>
      </c>
      <c r="D36" s="98" t="str">
        <f ca="1">IF((SUM(D32:D35))=0," ",(D32+'Uträkningar mm'!$G$32))</f>
        <v xml:space="preserve"> </v>
      </c>
      <c r="E36" s="98" t="str">
        <f>IF((SUM(E32:E35))=0," ",SUM(E32:E35))</f>
        <v xml:space="preserve"> </v>
      </c>
    </row>
    <row r="37" spans="2:6" s="67" customFormat="1" ht="6" customHeight="1" x14ac:dyDescent="0.35">
      <c r="B37" s="99"/>
      <c r="C37" s="100"/>
    </row>
    <row r="38" spans="2:6" s="67" customFormat="1" ht="14.15" customHeight="1" x14ac:dyDescent="0.35">
      <c r="B38" s="162" t="str">
        <f>IF(D10=0,"Dag 3",IF('Uträkningar mm'!O43&gt;0,'Uträkningar mm'!P43,"Dag 3"))</f>
        <v>Dag 3</v>
      </c>
      <c r="C38" s="91" t="s">
        <v>70</v>
      </c>
      <c r="D38" s="92" t="str">
        <f ca="1">'Uträkningar mm'!B37</f>
        <v xml:space="preserve"> </v>
      </c>
      <c r="E38" s="70"/>
      <c r="F38" s="94" t="s">
        <v>69</v>
      </c>
    </row>
    <row r="39" spans="2:6" s="67" customFormat="1" ht="14.15" customHeight="1" x14ac:dyDescent="0.35">
      <c r="B39" s="163"/>
      <c r="C39" s="95"/>
      <c r="D39" s="92" t="str">
        <f>IF('Uträkningar mm'!D33=TRUE,(-1*'Uträkningar mm'!E33)," ")</f>
        <v xml:space="preserve"> </v>
      </c>
      <c r="E39" s="92" t="str">
        <f>IF('Uträkningar mm'!H33=TRUE,('Skatteregler mm'!$D$60)," ")</f>
        <v xml:space="preserve"> </v>
      </c>
      <c r="F39" s="95"/>
    </row>
    <row r="40" spans="2:6" s="67" customFormat="1" ht="14.15" customHeight="1" x14ac:dyDescent="0.35">
      <c r="B40" s="163"/>
      <c r="C40" s="95"/>
      <c r="D40" s="92" t="str">
        <f>IF('Uträkningar mm'!D34=TRUE,(-1*'Uträkningar mm'!E34)," ")</f>
        <v xml:space="preserve"> </v>
      </c>
      <c r="E40" s="92" t="str">
        <f>IF('Uträkningar mm'!H34=TRUE,('Skatteregler mm'!$D$61)," ")</f>
        <v xml:space="preserve"> </v>
      </c>
      <c r="F40" s="95"/>
    </row>
    <row r="41" spans="2:6" s="67" customFormat="1" ht="14.15" customHeight="1" x14ac:dyDescent="0.35">
      <c r="B41" s="163"/>
      <c r="C41" s="96"/>
      <c r="D41" s="92" t="str">
        <f>IF('Uträkningar mm'!D35=TRUE,(-1*'Uträkningar mm'!E35)," ")</f>
        <v xml:space="preserve"> </v>
      </c>
      <c r="E41" s="92" t="str">
        <f>IF('Uträkningar mm'!H35=TRUE,('Skatteregler mm'!$D$62)," ")</f>
        <v xml:space="preserve"> </v>
      </c>
      <c r="F41" s="96"/>
    </row>
    <row r="42" spans="2:6" s="67" customFormat="1" ht="14.15" customHeight="1" x14ac:dyDescent="0.35">
      <c r="B42" s="164"/>
      <c r="C42" s="101" t="s">
        <v>39</v>
      </c>
      <c r="D42" s="98" t="str">
        <f ca="1">IF((SUM(D38:D41))=0," ",(D38+'Uträkningar mm'!$G$37))</f>
        <v xml:space="preserve"> </v>
      </c>
      <c r="E42" s="98" t="str">
        <f>IF((SUM(E38:E41))=0," ",SUM(E38:E41))</f>
        <v xml:space="preserve"> </v>
      </c>
    </row>
    <row r="43" spans="2:6" s="67" customFormat="1" ht="6" customHeight="1" x14ac:dyDescent="0.35">
      <c r="B43" s="99"/>
    </row>
    <row r="44" spans="2:6" s="67" customFormat="1" ht="14.15" customHeight="1" x14ac:dyDescent="0.35">
      <c r="B44" s="162" t="str">
        <f>IF(D10=0,"Dag 4",IF('Uträkningar mm'!O49&gt;0,'Uträkningar mm'!P49,"Dag 4"))</f>
        <v>Dag 4</v>
      </c>
      <c r="C44" s="94" t="s">
        <v>70</v>
      </c>
      <c r="D44" s="92" t="str">
        <f ca="1">'Uträkningar mm'!B42</f>
        <v xml:space="preserve"> </v>
      </c>
      <c r="E44" s="70"/>
      <c r="F44" s="94" t="s">
        <v>69</v>
      </c>
    </row>
    <row r="45" spans="2:6" s="67" customFormat="1" ht="14.15" customHeight="1" x14ac:dyDescent="0.35">
      <c r="B45" s="163"/>
      <c r="C45" s="95"/>
      <c r="D45" s="92" t="str">
        <f>IF('Uträkningar mm'!D38=TRUE,(-1*'Uträkningar mm'!E38)," ")</f>
        <v xml:space="preserve"> </v>
      </c>
      <c r="E45" s="92" t="str">
        <f>IF('Uträkningar mm'!H38=TRUE,('Skatteregler mm'!$D$60)," ")</f>
        <v xml:space="preserve"> </v>
      </c>
      <c r="F45" s="95"/>
    </row>
    <row r="46" spans="2:6" s="67" customFormat="1" ht="14.15" customHeight="1" x14ac:dyDescent="0.35">
      <c r="B46" s="163"/>
      <c r="C46" s="95"/>
      <c r="D46" s="92" t="str">
        <f>IF('Uträkningar mm'!D39=TRUE,(-1*'Uträkningar mm'!E39)," ")</f>
        <v xml:space="preserve"> </v>
      </c>
      <c r="E46" s="92" t="str">
        <f>IF('Uträkningar mm'!H39=TRUE,('Skatteregler mm'!$D$61)," ")</f>
        <v xml:space="preserve"> </v>
      </c>
      <c r="F46" s="95"/>
    </row>
    <row r="47" spans="2:6" s="67" customFormat="1" ht="14.15" customHeight="1" x14ac:dyDescent="0.35">
      <c r="B47" s="163"/>
      <c r="C47" s="96"/>
      <c r="D47" s="92" t="str">
        <f>IF('Uträkningar mm'!D40=TRUE,(-1*'Uträkningar mm'!E40)," ")</f>
        <v xml:space="preserve"> </v>
      </c>
      <c r="E47" s="92" t="str">
        <f>IF('Uträkningar mm'!H40=TRUE,('Skatteregler mm'!$D$62)," ")</f>
        <v xml:space="preserve"> </v>
      </c>
      <c r="F47" s="96"/>
    </row>
    <row r="48" spans="2:6" s="67" customFormat="1" ht="14.15" customHeight="1" x14ac:dyDescent="0.35">
      <c r="B48" s="164"/>
      <c r="C48" s="101" t="s">
        <v>39</v>
      </c>
      <c r="D48" s="98" t="str">
        <f ca="1">IF((SUM(D44:D47))=0," ",(D44+'Uträkningar mm'!$G$42))</f>
        <v xml:space="preserve"> </v>
      </c>
      <c r="E48" s="98" t="str">
        <f>IF((SUM(E44:E47))=0," ",SUM(E44:E47))</f>
        <v xml:space="preserve"> </v>
      </c>
    </row>
    <row r="49" spans="2:7" s="67" customFormat="1" ht="6" customHeight="1" x14ac:dyDescent="0.35">
      <c r="B49" s="99"/>
      <c r="C49" s="102"/>
    </row>
    <row r="50" spans="2:7" s="67" customFormat="1" ht="15" customHeight="1" x14ac:dyDescent="0.35">
      <c r="B50" s="162" t="str">
        <f>IF(D10=0,"Dag 5",IF('Uträkningar mm'!O55&gt;0,'Uträkningar mm'!P55,"Dag 5"))</f>
        <v>Dag 5</v>
      </c>
      <c r="C50" s="94" t="s">
        <v>70</v>
      </c>
      <c r="D50" s="92" t="str">
        <f ca="1">'Uträkningar mm'!B47</f>
        <v xml:space="preserve"> </v>
      </c>
      <c r="E50" s="70"/>
      <c r="F50" s="94" t="s">
        <v>69</v>
      </c>
    </row>
    <row r="51" spans="2:7" s="67" customFormat="1" ht="15" customHeight="1" x14ac:dyDescent="0.35">
      <c r="B51" s="163"/>
      <c r="C51" s="95"/>
      <c r="D51" s="92" t="str">
        <f>IF('Uträkningar mm'!D43=TRUE,(-1*'Uträkningar mm'!E43)," ")</f>
        <v xml:space="preserve"> </v>
      </c>
      <c r="E51" s="92" t="str">
        <f>IF('Uträkningar mm'!H43=TRUE,('Skatteregler mm'!$D$60)," ")</f>
        <v xml:space="preserve"> </v>
      </c>
      <c r="F51" s="95"/>
    </row>
    <row r="52" spans="2:7" s="67" customFormat="1" ht="15" customHeight="1" x14ac:dyDescent="0.35">
      <c r="B52" s="163"/>
      <c r="C52" s="95"/>
      <c r="D52" s="92" t="str">
        <f>IF('Uträkningar mm'!D44=TRUE,(-1*'Uträkningar mm'!E44)," ")</f>
        <v xml:space="preserve"> </v>
      </c>
      <c r="E52" s="92" t="str">
        <f>IF('Uträkningar mm'!H44=TRUE,('Skatteregler mm'!$D$61)," ")</f>
        <v xml:space="preserve"> </v>
      </c>
      <c r="F52" s="95"/>
    </row>
    <row r="53" spans="2:7" s="67" customFormat="1" ht="15" customHeight="1" x14ac:dyDescent="0.35">
      <c r="B53" s="163"/>
      <c r="C53" s="96"/>
      <c r="D53" s="92" t="str">
        <f>IF('Uträkningar mm'!D45=TRUE,(-1*'Uträkningar mm'!E45)," ")</f>
        <v xml:space="preserve"> </v>
      </c>
      <c r="E53" s="92" t="str">
        <f>IF('Uträkningar mm'!H45=TRUE,('Skatteregler mm'!$D$62)," ")</f>
        <v xml:space="preserve"> </v>
      </c>
      <c r="F53" s="96"/>
    </row>
    <row r="54" spans="2:7" s="67" customFormat="1" ht="15" customHeight="1" x14ac:dyDescent="0.35">
      <c r="B54" s="163"/>
      <c r="C54" s="101" t="s">
        <v>39</v>
      </c>
      <c r="D54" s="98" t="str">
        <f ca="1">IF((SUM(D50:D53))=0," ",(D50+'Uträkningar mm'!$G$47))</f>
        <v xml:space="preserve"> </v>
      </c>
      <c r="E54" s="98" t="str">
        <f>IF((SUM(E50:E53))=0," ",SUM(E50:E53))</f>
        <v xml:space="preserve"> </v>
      </c>
    </row>
    <row r="55" spans="2:7" s="67" customFormat="1" ht="6" customHeight="1" x14ac:dyDescent="0.35">
      <c r="B55" s="103"/>
      <c r="E55" s="104"/>
    </row>
    <row r="56" spans="2:7" s="67" customFormat="1" ht="15" customHeight="1" x14ac:dyDescent="0.35">
      <c r="B56" s="169" t="s">
        <v>204</v>
      </c>
      <c r="C56" s="105" t="s">
        <v>205</v>
      </c>
      <c r="E56" s="104"/>
    </row>
    <row r="57" spans="2:7" s="67" customFormat="1" ht="15" customHeight="1" x14ac:dyDescent="0.35">
      <c r="B57" s="170"/>
      <c r="C57" s="96" t="s">
        <v>207</v>
      </c>
      <c r="D57" s="106" t="str">
        <f ca="1">IF(SUM(D54,D48,D42,D36,D30)=0," ",SUM(D54,D48,D42,D36,D30))</f>
        <v xml:space="preserve"> </v>
      </c>
      <c r="E57" s="107" t="str">
        <f>IF('Uträkningar mm'!Q12=0," ",'Uträkningar mm'!Q12)</f>
        <v xml:space="preserve"> </v>
      </c>
      <c r="F57" s="108"/>
    </row>
    <row r="58" spans="2:7" s="67" customFormat="1" ht="15" customHeight="1" x14ac:dyDescent="0.35">
      <c r="B58" s="103"/>
      <c r="E58" s="104"/>
    </row>
    <row r="59" spans="2:7" s="67" customFormat="1" ht="24.75" customHeight="1" x14ac:dyDescent="0.35">
      <c r="B59" s="189" t="s">
        <v>227</v>
      </c>
      <c r="C59" s="190"/>
      <c r="D59" s="190"/>
      <c r="E59" s="190"/>
      <c r="F59" s="190"/>
      <c r="G59" s="190"/>
    </row>
    <row r="60" spans="2:7" s="67" customFormat="1" ht="15" customHeight="1" x14ac:dyDescent="0.35">
      <c r="B60" s="103"/>
      <c r="E60" s="104"/>
    </row>
    <row r="61" spans="2:7" s="67" customFormat="1" ht="15" customHeight="1" x14ac:dyDescent="0.35">
      <c r="B61" s="179" t="s">
        <v>204</v>
      </c>
      <c r="C61" s="105" t="s">
        <v>206</v>
      </c>
      <c r="D61" s="89" t="s">
        <v>10</v>
      </c>
      <c r="E61" s="90" t="s">
        <v>55</v>
      </c>
    </row>
    <row r="62" spans="2:7" s="67" customFormat="1" ht="15" customHeight="1" x14ac:dyDescent="0.35">
      <c r="B62" s="180"/>
      <c r="C62" s="96" t="s">
        <v>207</v>
      </c>
      <c r="D62" s="106" t="str">
        <f ca="1">D57</f>
        <v xml:space="preserve"> </v>
      </c>
      <c r="E62" s="98">
        <f>E89</f>
        <v>0</v>
      </c>
    </row>
    <row r="63" spans="2:7" s="67" customFormat="1" ht="15" customHeight="1" x14ac:dyDescent="0.35">
      <c r="B63" s="103"/>
      <c r="E63" s="104"/>
    </row>
    <row r="64" spans="2:7" s="67" customFormat="1" ht="6" customHeight="1" x14ac:dyDescent="0.35">
      <c r="B64" s="109"/>
    </row>
    <row r="65" spans="2:6" s="67" customFormat="1" ht="15" customHeight="1" x14ac:dyDescent="0.35">
      <c r="B65" s="166" t="str">
        <f>IF(D10=0,"Dag 6",IF('Uträkningar mm'!O61&gt;0,'Uträkningar mm'!P61,"Dag 6"))</f>
        <v>Dag 6</v>
      </c>
      <c r="C65" s="94" t="s">
        <v>70</v>
      </c>
      <c r="D65" s="110" t="str">
        <f ca="1">'Uträkningar mm'!B52</f>
        <v xml:space="preserve"> </v>
      </c>
      <c r="E65" s="70"/>
      <c r="F65" s="94" t="s">
        <v>69</v>
      </c>
    </row>
    <row r="66" spans="2:6" s="67" customFormat="1" ht="15" customHeight="1" x14ac:dyDescent="0.35">
      <c r="B66" s="167"/>
      <c r="C66" s="95"/>
      <c r="D66" s="151" t="str">
        <f>IF('Uträkningar mm'!D48=TRUE,(-1*'Uträkningar mm'!E48)," ")</f>
        <v xml:space="preserve"> </v>
      </c>
      <c r="E66" s="92" t="str">
        <f>IF('Uträkningar mm'!H48=TRUE,('Skatteregler mm'!$D$60)," ")</f>
        <v xml:space="preserve"> </v>
      </c>
      <c r="F66" s="95"/>
    </row>
    <row r="67" spans="2:6" s="67" customFormat="1" ht="15" customHeight="1" x14ac:dyDescent="0.35">
      <c r="B67" s="167"/>
      <c r="C67" s="95"/>
      <c r="D67" s="151" t="str">
        <f>IF('Uträkningar mm'!D49=TRUE,(-1*'Uträkningar mm'!E49)," ")</f>
        <v xml:space="preserve"> </v>
      </c>
      <c r="E67" s="92" t="str">
        <f>IF('Uträkningar mm'!H49=TRUE,('Skatteregler mm'!$D$61)," ")</f>
        <v xml:space="preserve"> </v>
      </c>
      <c r="F67" s="95"/>
    </row>
    <row r="68" spans="2:6" s="67" customFormat="1" ht="15" customHeight="1" x14ac:dyDescent="0.35">
      <c r="B68" s="167"/>
      <c r="C68" s="96"/>
      <c r="D68" s="92" t="str">
        <f>IF('Uträkningar mm'!D50=TRUE,(-1*'Uträkningar mm'!E50)," ")</f>
        <v xml:space="preserve"> </v>
      </c>
      <c r="E68" s="92" t="str">
        <f>IF('Uträkningar mm'!H50=TRUE,('Skatteregler mm'!$D$62)," ")</f>
        <v xml:space="preserve"> </v>
      </c>
      <c r="F68" s="96"/>
    </row>
    <row r="69" spans="2:6" s="67" customFormat="1" ht="15" customHeight="1" x14ac:dyDescent="0.35">
      <c r="B69" s="168"/>
      <c r="C69" s="101" t="s">
        <v>39</v>
      </c>
      <c r="D69" s="98" t="str">
        <f ca="1">IF((SUM(D65:D68))=0," ",(D65+'Uträkningar mm'!$G$52))</f>
        <v xml:space="preserve"> </v>
      </c>
      <c r="E69" s="98" t="str">
        <f>IF((SUM(E65:E68))=0," ",SUM(E65:E68))</f>
        <v xml:space="preserve"> </v>
      </c>
    </row>
    <row r="70" spans="2:6" s="67" customFormat="1" ht="6" customHeight="1" x14ac:dyDescent="0.35">
      <c r="B70" s="111"/>
    </row>
    <row r="71" spans="2:6" s="67" customFormat="1" ht="14.15" customHeight="1" x14ac:dyDescent="0.35">
      <c r="B71" s="165" t="str">
        <f>IF(D10=0,"Dag 7",IF('Uträkningar mm'!O67&gt;0,'Uträkningar mm'!P67,"Dag 7"))</f>
        <v>Dag 7</v>
      </c>
      <c r="C71" s="94" t="s">
        <v>70</v>
      </c>
      <c r="D71" s="92" t="str">
        <f ca="1">'Uträkningar mm'!B57</f>
        <v xml:space="preserve"> </v>
      </c>
      <c r="E71" s="70"/>
      <c r="F71" s="94" t="s">
        <v>69</v>
      </c>
    </row>
    <row r="72" spans="2:6" s="67" customFormat="1" ht="14.15" customHeight="1" x14ac:dyDescent="0.35">
      <c r="B72" s="163"/>
      <c r="C72" s="95"/>
      <c r="D72" s="92" t="str">
        <f>IF('Uträkningar mm'!D53=TRUE,(-1*'Uträkningar mm'!E53)," ")</f>
        <v xml:space="preserve"> </v>
      </c>
      <c r="E72" s="92" t="str">
        <f>IF('Uträkningar mm'!H53=TRUE,('Skatteregler mm'!$D$60)," ")</f>
        <v xml:space="preserve"> </v>
      </c>
      <c r="F72" s="95"/>
    </row>
    <row r="73" spans="2:6" s="67" customFormat="1" ht="14.15" customHeight="1" x14ac:dyDescent="0.35">
      <c r="B73" s="163"/>
      <c r="C73" s="95"/>
      <c r="D73" s="92" t="str">
        <f>IF('Uträkningar mm'!D54=TRUE,(-1*'Uträkningar mm'!E54)," ")</f>
        <v xml:space="preserve"> </v>
      </c>
      <c r="E73" s="92" t="str">
        <f>IF('Uträkningar mm'!H54=TRUE,('Skatteregler mm'!$D$61)," ")</f>
        <v xml:space="preserve"> </v>
      </c>
      <c r="F73" s="95"/>
    </row>
    <row r="74" spans="2:6" s="67" customFormat="1" ht="14.15" customHeight="1" x14ac:dyDescent="0.35">
      <c r="B74" s="163"/>
      <c r="C74" s="96"/>
      <c r="D74" s="92" t="str">
        <f>IF('Uträkningar mm'!D55=TRUE,(-1*'Uträkningar mm'!E55)," ")</f>
        <v xml:space="preserve"> </v>
      </c>
      <c r="E74" s="92" t="str">
        <f>IF('Uträkningar mm'!H55=TRUE,('Skatteregler mm'!$D$62)," ")</f>
        <v xml:space="preserve"> </v>
      </c>
      <c r="F74" s="96"/>
    </row>
    <row r="75" spans="2:6" s="67" customFormat="1" ht="14.15" customHeight="1" x14ac:dyDescent="0.35">
      <c r="B75" s="164"/>
      <c r="C75" s="101" t="s">
        <v>39</v>
      </c>
      <c r="D75" s="98" t="str">
        <f ca="1">IF((SUM(D71:D74))=0," ",(D71+'Uträkningar mm'!$G$57))</f>
        <v xml:space="preserve"> </v>
      </c>
      <c r="E75" s="98" t="str">
        <f>IF((SUM(E71:E74))=0," ",SUM(E71:E74))</f>
        <v xml:space="preserve"> </v>
      </c>
    </row>
    <row r="76" spans="2:6" s="67" customFormat="1" ht="6" customHeight="1" x14ac:dyDescent="0.35">
      <c r="B76" s="111"/>
    </row>
    <row r="77" spans="2:6" s="67" customFormat="1" ht="14.15" customHeight="1" x14ac:dyDescent="0.35">
      <c r="B77" s="162" t="str">
        <f>IF(D10=0,"Dag 8",IF('Uträkningar mm'!O73&gt;0,'Uträkningar mm'!P73,"Dag 8"))</f>
        <v>Dag 8</v>
      </c>
      <c r="C77" s="94" t="s">
        <v>70</v>
      </c>
      <c r="D77" s="92" t="str">
        <f ca="1">'Uträkningar mm'!B62</f>
        <v xml:space="preserve"> </v>
      </c>
      <c r="E77" s="70"/>
      <c r="F77" s="94" t="s">
        <v>69</v>
      </c>
    </row>
    <row r="78" spans="2:6" s="67" customFormat="1" ht="14.15" customHeight="1" x14ac:dyDescent="0.35">
      <c r="B78" s="163"/>
      <c r="C78" s="95"/>
      <c r="D78" s="92" t="str">
        <f>IF('Uträkningar mm'!D58=TRUE,(-1*'Uträkningar mm'!E58)," ")</f>
        <v xml:space="preserve"> </v>
      </c>
      <c r="E78" s="92" t="str">
        <f>IF('Uträkningar mm'!H58=TRUE,('Skatteregler mm'!$D$60)," ")</f>
        <v xml:space="preserve"> </v>
      </c>
      <c r="F78" s="95"/>
    </row>
    <row r="79" spans="2:6" s="67" customFormat="1" ht="14.15" customHeight="1" x14ac:dyDescent="0.35">
      <c r="B79" s="163"/>
      <c r="C79" s="95"/>
      <c r="D79" s="92" t="str">
        <f>IF('Uträkningar mm'!D59=TRUE,(-1*'Uträkningar mm'!E59)," ")</f>
        <v xml:space="preserve"> </v>
      </c>
      <c r="E79" s="92" t="str">
        <f>IF('Uträkningar mm'!H59=TRUE,('Skatteregler mm'!$D$61)," ")</f>
        <v xml:space="preserve"> </v>
      </c>
      <c r="F79" s="95"/>
    </row>
    <row r="80" spans="2:6" s="67" customFormat="1" ht="14.15" customHeight="1" x14ac:dyDescent="0.35">
      <c r="B80" s="163"/>
      <c r="C80" s="96"/>
      <c r="D80" s="92" t="str">
        <f>IF('Uträkningar mm'!D60=TRUE,(-1*'Uträkningar mm'!E60)," ")</f>
        <v xml:space="preserve"> </v>
      </c>
      <c r="E80" s="92" t="str">
        <f>IF('Uträkningar mm'!H60=TRUE,('Skatteregler mm'!$D$62)," ")</f>
        <v xml:space="preserve"> </v>
      </c>
      <c r="F80" s="96"/>
    </row>
    <row r="81" spans="2:6" s="67" customFormat="1" ht="14.15" customHeight="1" x14ac:dyDescent="0.35">
      <c r="B81" s="164"/>
      <c r="C81" s="101" t="s">
        <v>39</v>
      </c>
      <c r="D81" s="98" t="str">
        <f ca="1">IF((SUM(D77:D80))=0," ",(D77+'Uträkningar mm'!$G$62))</f>
        <v xml:space="preserve"> </v>
      </c>
      <c r="E81" s="98" t="str">
        <f>IF((SUM(E77:E80))=0," ",SUM(E77:E80))</f>
        <v xml:space="preserve"> </v>
      </c>
    </row>
    <row r="82" spans="2:6" s="67" customFormat="1" ht="6" customHeight="1" x14ac:dyDescent="0.35">
      <c r="B82" s="111"/>
    </row>
    <row r="83" spans="2:6" s="67" customFormat="1" ht="14.15" customHeight="1" x14ac:dyDescent="0.35">
      <c r="B83" s="162" t="str">
        <f>IF(D10=0,"Dag 9",IF('Uträkningar mm'!O79&gt;0,'Uträkningar mm'!P79,"Dag 9"))</f>
        <v>Dag 9</v>
      </c>
      <c r="C83" s="94" t="s">
        <v>70</v>
      </c>
      <c r="D83" s="92" t="str">
        <f ca="1">'Uträkningar mm'!B67</f>
        <v xml:space="preserve"> </v>
      </c>
      <c r="E83" s="70"/>
      <c r="F83" s="94" t="s">
        <v>69</v>
      </c>
    </row>
    <row r="84" spans="2:6" s="67" customFormat="1" ht="14.15" customHeight="1" x14ac:dyDescent="0.35">
      <c r="B84" s="163"/>
      <c r="C84" s="95"/>
      <c r="D84" s="92" t="str">
        <f>IF('Uträkningar mm'!D63=TRUE,(-1*'Uträkningar mm'!E63)," ")</f>
        <v xml:space="preserve"> </v>
      </c>
      <c r="E84" s="92" t="str">
        <f>IF('Uträkningar mm'!H63=TRUE,('Skatteregler mm'!$D$60)," ")</f>
        <v xml:space="preserve"> </v>
      </c>
      <c r="F84" s="95"/>
    </row>
    <row r="85" spans="2:6" s="67" customFormat="1" ht="14.15" customHeight="1" x14ac:dyDescent="0.35">
      <c r="B85" s="163"/>
      <c r="C85" s="95"/>
      <c r="D85" s="92" t="str">
        <f>IF('Uträkningar mm'!D64=TRUE,(-1*'Uträkningar mm'!E64)," ")</f>
        <v xml:space="preserve"> </v>
      </c>
      <c r="E85" s="92" t="str">
        <f>IF('Uträkningar mm'!H64=TRUE,('Skatteregler mm'!$D$61)," ")</f>
        <v xml:space="preserve"> </v>
      </c>
      <c r="F85" s="95"/>
    </row>
    <row r="86" spans="2:6" s="67" customFormat="1" ht="14.15" customHeight="1" x14ac:dyDescent="0.35">
      <c r="B86" s="163"/>
      <c r="C86" s="96"/>
      <c r="D86" s="92" t="str">
        <f>IF('Uträkningar mm'!D65=TRUE,(-1*'Uträkningar mm'!E65)," ")</f>
        <v xml:space="preserve"> </v>
      </c>
      <c r="E86" s="92" t="str">
        <f>IF('Uträkningar mm'!H65=TRUE,('Skatteregler mm'!$D$62)," ")</f>
        <v xml:space="preserve"> </v>
      </c>
      <c r="F86" s="96"/>
    </row>
    <row r="87" spans="2:6" s="67" customFormat="1" ht="14.15" customHeight="1" x14ac:dyDescent="0.35">
      <c r="B87" s="164"/>
      <c r="C87" s="101" t="s">
        <v>39</v>
      </c>
      <c r="D87" s="98" t="str">
        <f ca="1">IF((SUM(D83:D86))=0," ",(D83+'Uträkningar mm'!$G$67))</f>
        <v xml:space="preserve"> </v>
      </c>
      <c r="E87" s="98" t="str">
        <f>IF((SUM(E83:E86))=0," ",SUM(E83:E86))</f>
        <v xml:space="preserve"> </v>
      </c>
    </row>
    <row r="88" spans="2:6" s="67" customFormat="1" ht="6" customHeight="1" x14ac:dyDescent="0.35">
      <c r="B88" s="109"/>
      <c r="C88" s="81"/>
    </row>
    <row r="89" spans="2:6" s="67" customFormat="1" ht="15" customHeight="1" x14ac:dyDescent="0.35">
      <c r="B89" s="161" t="s">
        <v>224</v>
      </c>
      <c r="C89" s="70" t="s">
        <v>223</v>
      </c>
      <c r="D89" s="98" t="str">
        <f ca="1">IF(('Uträkningar mm'!N17)=0," ",'Uträkningar mm'!N17)</f>
        <v xml:space="preserve"> </v>
      </c>
      <c r="E89" s="92">
        <f>IF(('Uträkningar mm'!Q17)=0,,'Uträkningar mm'!Q17)</f>
        <v>0</v>
      </c>
    </row>
    <row r="90" spans="2:6" s="67" customFormat="1" ht="15" customHeight="1" x14ac:dyDescent="0.35">
      <c r="B90" s="161"/>
      <c r="C90" s="96" t="s">
        <v>184</v>
      </c>
      <c r="D90" s="92">
        <f>IF(E20=0,,E20*'Skatteregler mm'!D18)</f>
        <v>0</v>
      </c>
      <c r="E90" s="104"/>
    </row>
    <row r="91" spans="2:6" s="67" customFormat="1" ht="15" customHeight="1" x14ac:dyDescent="0.35">
      <c r="B91" s="161"/>
      <c r="C91" s="96" t="s">
        <v>183</v>
      </c>
      <c r="D91" s="112">
        <f>IF(E21=0,,E21*'Skatteregler mm'!E18)</f>
        <v>0</v>
      </c>
    </row>
    <row r="92" spans="2:6" s="67" customFormat="1" ht="6" customHeight="1" x14ac:dyDescent="0.35">
      <c r="B92" s="99"/>
    </row>
    <row r="93" spans="2:6" s="67" customFormat="1" ht="15" customHeight="1" x14ac:dyDescent="0.35">
      <c r="B93" s="178" t="s">
        <v>54</v>
      </c>
      <c r="C93" s="113" t="str">
        <f>F23</f>
        <v>Egen bil</v>
      </c>
      <c r="D93" s="114">
        <f>IF(E23=0,,('Uträkning bilersättning'!B4)&amp;" kr/km")</f>
        <v>0</v>
      </c>
      <c r="E93" s="114">
        <f>IF(E23=0,,('Uträkning bilersättning'!C4)&amp;" kr/km")</f>
        <v>0</v>
      </c>
    </row>
    <row r="94" spans="2:6" s="67" customFormat="1" ht="15" customHeight="1" x14ac:dyDescent="0.35">
      <c r="B94" s="169"/>
      <c r="C94" s="70" t="s">
        <v>47</v>
      </c>
      <c r="D94" s="92">
        <f>IF(E23=0,,'Uträkning bilersättning'!B5)</f>
        <v>0</v>
      </c>
      <c r="E94" s="92">
        <f>IF(E23=0,,'Uträkning bilersättning'!C5)</f>
        <v>0</v>
      </c>
      <c r="F94" s="104"/>
    </row>
    <row r="95" spans="2:6" s="67" customFormat="1" ht="6" customHeight="1" x14ac:dyDescent="0.35"/>
    <row r="96" spans="2:6" s="67" customFormat="1" ht="15" customHeight="1" x14ac:dyDescent="0.35">
      <c r="B96" s="187" t="s">
        <v>48</v>
      </c>
      <c r="C96" s="115"/>
      <c r="D96" s="116"/>
      <c r="E96" s="117"/>
    </row>
    <row r="97" spans="2:7" s="67" customFormat="1" ht="15" customHeight="1" x14ac:dyDescent="0.35">
      <c r="B97" s="188"/>
      <c r="C97" s="115"/>
      <c r="D97" s="116"/>
      <c r="E97" s="117"/>
    </row>
    <row r="98" spans="2:7" s="67" customFormat="1" ht="15" customHeight="1" x14ac:dyDescent="0.35">
      <c r="B98" s="188"/>
      <c r="C98" s="115"/>
      <c r="D98" s="116"/>
      <c r="E98" s="117"/>
    </row>
    <row r="99" spans="2:7" s="67" customFormat="1" ht="15" customHeight="1" x14ac:dyDescent="0.35">
      <c r="B99" s="188"/>
      <c r="C99" s="115"/>
      <c r="D99" s="116"/>
      <c r="E99" s="117"/>
    </row>
    <row r="100" spans="2:7" s="67" customFormat="1" ht="15" customHeight="1" x14ac:dyDescent="0.35">
      <c r="B100" s="188"/>
      <c r="C100" s="115"/>
      <c r="D100" s="116"/>
      <c r="E100" s="117"/>
    </row>
    <row r="101" spans="2:7" s="67" customFormat="1" ht="15" customHeight="1" x14ac:dyDescent="0.35">
      <c r="B101" s="188"/>
      <c r="C101" s="115"/>
      <c r="D101" s="116"/>
      <c r="E101" s="117"/>
    </row>
    <row r="102" spans="2:7" s="67" customFormat="1" ht="15" customHeight="1" x14ac:dyDescent="0.35">
      <c r="B102" s="188"/>
      <c r="C102" s="115"/>
      <c r="D102" s="116"/>
      <c r="E102" s="117"/>
    </row>
    <row r="103" spans="2:7" s="67" customFormat="1" ht="15" customHeight="1" x14ac:dyDescent="0.35">
      <c r="B103" s="188"/>
      <c r="C103" s="115"/>
      <c r="D103" s="116"/>
      <c r="E103" s="117"/>
    </row>
    <row r="104" spans="2:7" s="67" customFormat="1" ht="15" customHeight="1" x14ac:dyDescent="0.35">
      <c r="B104" s="188"/>
      <c r="C104" s="115"/>
      <c r="D104" s="116"/>
      <c r="E104" s="117"/>
    </row>
    <row r="105" spans="2:7" s="67" customFormat="1" ht="6" customHeight="1" x14ac:dyDescent="0.35"/>
    <row r="106" spans="2:7" s="67" customFormat="1" ht="15" customHeight="1" x14ac:dyDescent="0.35">
      <c r="B106" s="181" t="s">
        <v>260</v>
      </c>
      <c r="C106" s="193"/>
      <c r="D106" s="118"/>
      <c r="E106" s="119"/>
    </row>
    <row r="107" spans="2:7" s="67" customFormat="1" ht="6" customHeight="1" x14ac:dyDescent="0.35">
      <c r="D107" s="117"/>
    </row>
    <row r="108" spans="2:7" s="67" customFormat="1" ht="15" customHeight="1" thickBot="1" x14ac:dyDescent="0.4">
      <c r="D108" s="120" t="s">
        <v>287</v>
      </c>
      <c r="E108" s="120" t="s">
        <v>291</v>
      </c>
      <c r="F108" s="120" t="s">
        <v>292</v>
      </c>
    </row>
    <row r="109" spans="2:7" s="67" customFormat="1" ht="15" customHeight="1" thickBot="1" x14ac:dyDescent="0.4">
      <c r="B109" s="185" t="s">
        <v>49</v>
      </c>
      <c r="C109" s="186"/>
      <c r="D109" s="121" t="str">
        <f ca="1">IF((D90+D91+D94+E94+D96+D97+D98+D99+D100+D101+D102+D103+D104-D106+'Uträkningar mm'!N17)=0," ",D90+D91+D94+E94+D96+D97+D98+D99+D100+D101+D102+D103+D104-D106+'Uträkningar mm'!N17)</f>
        <v xml:space="preserve"> </v>
      </c>
      <c r="E109" s="122" t="str">
        <f>IF('Uträkningar mm'!Q17=0," ",'Uträkningar mm'!Q17)</f>
        <v xml:space="preserve"> </v>
      </c>
      <c r="F109" s="123" t="str">
        <f>IF('Uträkning bilersättning'!C5=0," ",'Uträkning bilersättning'!C5)</f>
        <v xml:space="preserve"> </v>
      </c>
    </row>
    <row r="110" spans="2:7" s="67" customFormat="1" ht="6" customHeight="1" x14ac:dyDescent="0.35">
      <c r="B110" s="102"/>
      <c r="C110" s="102"/>
      <c r="D110" s="124"/>
      <c r="E110" s="124"/>
      <c r="F110" s="124"/>
      <c r="G110" s="124"/>
    </row>
    <row r="111" spans="2:7" s="67" customFormat="1" ht="14.15" customHeight="1" x14ac:dyDescent="0.35">
      <c r="B111" s="183" t="s">
        <v>62</v>
      </c>
      <c r="C111" s="184"/>
      <c r="D111" s="125">
        <f ca="1">TODAY()</f>
        <v>45419</v>
      </c>
    </row>
    <row r="112" spans="2:7" s="67" customFormat="1" ht="30" customHeight="1" x14ac:dyDescent="0.35">
      <c r="B112" s="181" t="s">
        <v>293</v>
      </c>
      <c r="C112" s="182"/>
      <c r="D112" s="126"/>
      <c r="E112" s="127"/>
      <c r="F112" s="128" t="s">
        <v>63</v>
      </c>
      <c r="G112" s="129"/>
    </row>
    <row r="113" spans="2:7" s="67" customFormat="1" ht="15" customHeight="1" x14ac:dyDescent="0.35">
      <c r="B113" s="174" t="s">
        <v>225</v>
      </c>
      <c r="C113" s="175"/>
      <c r="D113" s="176"/>
      <c r="E113" s="177"/>
      <c r="F113" s="191"/>
      <c r="G113" s="192"/>
    </row>
    <row r="114" spans="2:7" s="67" customFormat="1" x14ac:dyDescent="0.35"/>
    <row r="117" spans="2:7" s="67" customFormat="1" x14ac:dyDescent="0.35">
      <c r="B117" s="130"/>
    </row>
  </sheetData>
  <protectedRanges>
    <protectedRange sqref="D3:E5 G3:G4 D6 D10:G10 D14:G14 D18:G18 E20:E21 E23:F23 C96:D104 D106 D111 D113:G113" name="Grå textrutor"/>
  </protectedRanges>
  <dataConsolidate/>
  <mergeCells count="36">
    <mergeCell ref="B113:C113"/>
    <mergeCell ref="D113:E113"/>
    <mergeCell ref="B93:B94"/>
    <mergeCell ref="B38:B42"/>
    <mergeCell ref="B61:B62"/>
    <mergeCell ref="B44:B48"/>
    <mergeCell ref="B112:C112"/>
    <mergeCell ref="B111:C111"/>
    <mergeCell ref="B109:C109"/>
    <mergeCell ref="B96:B104"/>
    <mergeCell ref="B50:B54"/>
    <mergeCell ref="B59:G59"/>
    <mergeCell ref="F113:G113"/>
    <mergeCell ref="B106:C106"/>
    <mergeCell ref="B1:G1"/>
    <mergeCell ref="B89:B91"/>
    <mergeCell ref="B77:B81"/>
    <mergeCell ref="B26:B30"/>
    <mergeCell ref="B71:B75"/>
    <mergeCell ref="B65:B69"/>
    <mergeCell ref="B83:B87"/>
    <mergeCell ref="B56:B57"/>
    <mergeCell ref="F20:G20"/>
    <mergeCell ref="F21:G21"/>
    <mergeCell ref="B14:C14"/>
    <mergeCell ref="B18:C18"/>
    <mergeCell ref="D6:G6"/>
    <mergeCell ref="B6:C6"/>
    <mergeCell ref="B20:D20"/>
    <mergeCell ref="B32:B36"/>
    <mergeCell ref="D3:E3"/>
    <mergeCell ref="B3:C3"/>
    <mergeCell ref="B21:D21"/>
    <mergeCell ref="D5:E5"/>
    <mergeCell ref="B4:C4"/>
    <mergeCell ref="D4:E4"/>
  </mergeCells>
  <phoneticPr fontId="0" type="noConversion"/>
  <conditionalFormatting sqref="B32:B36">
    <cfRule type="cellIs" dxfId="20" priority="35" stopIfTrue="1" operator="lessThan">
      <formula>0</formula>
    </cfRule>
  </conditionalFormatting>
  <conditionalFormatting sqref="D26 D30:E30">
    <cfRule type="expression" dxfId="19" priority="11" stopIfTrue="1">
      <formula>ISERROR(D26)</formula>
    </cfRule>
  </conditionalFormatting>
  <conditionalFormatting sqref="D32">
    <cfRule type="expression" dxfId="18" priority="14" stopIfTrue="1">
      <formula>ISERROR(D32)</formula>
    </cfRule>
  </conditionalFormatting>
  <conditionalFormatting sqref="D38">
    <cfRule type="expression" dxfId="17" priority="17" stopIfTrue="1">
      <formula>ISERROR(D38)</formula>
    </cfRule>
  </conditionalFormatting>
  <conditionalFormatting sqref="D44 D55:D58 B59 D60 E62 D62:D63 D65 D71 D89 D109">
    <cfRule type="expression" dxfId="16" priority="30" stopIfTrue="1">
      <formula>ISERROR(B44)</formula>
    </cfRule>
  </conditionalFormatting>
  <conditionalFormatting sqref="D50">
    <cfRule type="expression" dxfId="15" priority="20" stopIfTrue="1">
      <formula>ISERROR(D50)</formula>
    </cfRule>
  </conditionalFormatting>
  <conditionalFormatting sqref="D77">
    <cfRule type="expression" dxfId="14" priority="24" stopIfTrue="1">
      <formula>ISERROR(D77)</formula>
    </cfRule>
  </conditionalFormatting>
  <conditionalFormatting sqref="D83">
    <cfRule type="expression" dxfId="13" priority="22" stopIfTrue="1">
      <formula>ISERROR(D83)</formula>
    </cfRule>
  </conditionalFormatting>
  <conditionalFormatting sqref="D36:E36">
    <cfRule type="expression" dxfId="12" priority="8" stopIfTrue="1">
      <formula>ISERROR(D36)</formula>
    </cfRule>
  </conditionalFormatting>
  <conditionalFormatting sqref="D42:E42">
    <cfRule type="expression" dxfId="11" priority="7" stopIfTrue="1">
      <formula>ISERROR(D42)</formula>
    </cfRule>
  </conditionalFormatting>
  <conditionalFormatting sqref="D48:E48">
    <cfRule type="expression" dxfId="10" priority="6" stopIfTrue="1">
      <formula>ISERROR(D48)</formula>
    </cfRule>
  </conditionalFormatting>
  <conditionalFormatting sqref="D54:E54">
    <cfRule type="expression" dxfId="9" priority="5" stopIfTrue="1">
      <formula>ISERROR(D54)</formula>
    </cfRule>
  </conditionalFormatting>
  <conditionalFormatting sqref="D69:E69">
    <cfRule type="expression" dxfId="8" priority="4" stopIfTrue="1">
      <formula>ISERROR(D69)</formula>
    </cfRule>
  </conditionalFormatting>
  <conditionalFormatting sqref="D75:E75">
    <cfRule type="expression" dxfId="7" priority="3" stopIfTrue="1">
      <formula>ISERROR(D75)</formula>
    </cfRule>
  </conditionalFormatting>
  <conditionalFormatting sqref="D81:E81">
    <cfRule type="expression" dxfId="6" priority="2" stopIfTrue="1">
      <formula>ISERROR(D81)</formula>
    </cfRule>
  </conditionalFormatting>
  <conditionalFormatting sqref="D87:E87">
    <cfRule type="expression" dxfId="5" priority="1" stopIfTrue="1">
      <formula>ISERROR(D87)</formula>
    </cfRule>
  </conditionalFormatting>
  <conditionalFormatting sqref="E57">
    <cfRule type="expression" dxfId="4" priority="29" stopIfTrue="1">
      <formula>ISERROR($E$57)</formula>
    </cfRule>
  </conditionalFormatting>
  <conditionalFormatting sqref="F20">
    <cfRule type="expression" dxfId="3" priority="32" stopIfTrue="1">
      <formula>ISERROR($F$20)</formula>
    </cfRule>
  </conditionalFormatting>
  <conditionalFormatting sqref="F21">
    <cfRule type="expression" dxfId="2" priority="33" stopIfTrue="1">
      <formula>"&gt;1"</formula>
    </cfRule>
    <cfRule type="expression" dxfId="1" priority="34" stopIfTrue="1">
      <formula>ISERROR($F$21)</formula>
    </cfRule>
  </conditionalFormatting>
  <dataValidations count="9">
    <dataValidation type="date" errorStyle="warning" operator="greaterThanOrEqual" allowBlank="1" showInputMessage="1" showErrorMessage="1" errorTitle="Ange dag" error="Skriv in datum enligt åååå-mm-dd._x000d_Dagen måste också vara samma dag eller senare än avresedagen" sqref="F18" xr:uid="{00000000-0002-0000-0000-000000000000}">
      <formula1>D18</formula1>
    </dataValidation>
    <dataValidation type="date" operator="greaterThanOrEqual" allowBlank="1" showInputMessage="1" showErrorMessage="1" errorTitle="Ange dag" error="Skriv in dag enligtr format åååå-mm-dd exempelvis 2000-11-04._x000d_Dagen måste också vara samma dag eller senare än avresedagen" sqref="F14" xr:uid="{00000000-0002-0000-0000-000001000000}">
      <formula1>D14</formula1>
    </dataValidation>
    <dataValidation type="date" operator="greaterThanOrEqual" allowBlank="1" showInputMessage="1" showErrorMessage="1" errorTitle="Ange dag" error="Skriv in dag enligt åååå-mm-dd_x000d_Du kan inte heller skriva ett datum före avresedagen" prompt="Skriv över om avresa från Sverige sker på annan dag " sqref="F10" xr:uid="{00000000-0002-0000-0000-000002000000}">
      <formula1>D10</formula1>
    </dataValidation>
    <dataValidation type="time" allowBlank="1" showInputMessage="1" showErrorMessage="1" errorTitle="Ange tid" error="Skriv in klockslag enligt tt:mm, exempel 19:30" sqref="G11 G18" xr:uid="{00000000-0002-0000-0000-000003000000}">
      <formula1>0</formula1>
      <formula2>0.999305555555556</formula2>
    </dataValidation>
    <dataValidation type="time" allowBlank="1" showInputMessage="1" showErrorMessage="1" errorTitle="Ange tid" error="Skriv in klockslag enligt tt:mm, exempel 07:30" sqref="E22:F22 G14 F15 E10:E11 F11 G10 E14:E15 E18:E19 F19" xr:uid="{00000000-0002-0000-0000-000004000000}">
      <formula1>0</formula1>
      <formula2>0.999305555555556</formula2>
    </dataValidation>
    <dataValidation type="date" allowBlank="1" showInputMessage="1" showErrorMessage="1" errorTitle="Ange datum" error="Skriv in datum enligt åååå-mm-dd, exempel 1998-12-24" sqref="D15 G15 D19 D10:D11 G19 G22" xr:uid="{00000000-0002-0000-0000-000005000000}">
      <formula1>1</formula1>
      <formula2>55153</formula2>
    </dataValidation>
    <dataValidation allowBlank="1" showInputMessage="1" showErrorMessage="1" errorTitle="Ange datum" error="Skriv in datum enligt åååå-mm-dd, exempel 1998-12-24" sqref="D22 F20:F21" xr:uid="{00000000-0002-0000-0000-000006000000}"/>
    <dataValidation type="date" operator="greaterThanOrEqual" allowBlank="1" showInputMessage="1" showErrorMessage="1" errorTitle="Ange datum" error="Skriv in datum enligt åååå-mm-dd, exempel 1998-12-24 dagen måste också vara samma eller senare än avrededagen" prompt="Skriv över om ankomst sker på annan dag än avresedagen" sqref="D14" xr:uid="{00000000-0002-0000-0000-000007000000}">
      <formula1>F10</formula1>
    </dataValidation>
    <dataValidation type="date" operator="greaterThanOrEqual" allowBlank="1" showInputMessage="1" showErrorMessage="1" errorTitle="Ange datum" error="Skriv in datum enligt åååå-mm-dd, exempel 2000-11-04._x000d_Dagen måste också vara samma dag eller senare än avresedagen" sqref="D18" xr:uid="{00000000-0002-0000-0000-000008000000}">
      <formula1>G14</formula1>
    </dataValidation>
  </dataValidations>
  <pageMargins left="0.74803149606299213" right="0.43307086614173229" top="0.43307086614173229" bottom="0.23622047244094491" header="0.39370078740157483" footer="0.23622047244094491"/>
  <pageSetup paperSize="9" orientation="portrait" r:id="rId1"/>
  <headerFooter>
    <oddFooter>&amp;L&amp;"-,Normal"&amp;8Version 2.0&amp;C&amp;"-,Normal"&amp;8Sida &amp;P av &amp;N</oddFooter>
  </headerFooter>
  <rowBreaks count="1" manualBreakCount="1">
    <brk id="58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120650</xdr:rowOff>
                  </from>
                  <to>
                    <xdr:col>2</xdr:col>
                    <xdr:colOff>717550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120650</xdr:rowOff>
                  </from>
                  <to>
                    <xdr:col>2</xdr:col>
                    <xdr:colOff>717550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120650</xdr:rowOff>
                  </from>
                  <to>
                    <xdr:col>2</xdr:col>
                    <xdr:colOff>685800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146050</xdr:rowOff>
                  </from>
                  <to>
                    <xdr:col>2</xdr:col>
                    <xdr:colOff>685800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120650</xdr:rowOff>
                  </from>
                  <to>
                    <xdr:col>2</xdr:col>
                    <xdr:colOff>685800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114300</xdr:rowOff>
                  </from>
                  <to>
                    <xdr:col>2</xdr:col>
                    <xdr:colOff>685800</xdr:colOff>
                    <xdr:row>44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120650</xdr:rowOff>
                  </from>
                  <to>
                    <xdr:col>2</xdr:col>
                    <xdr:colOff>685800</xdr:colOff>
                    <xdr:row>71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146050</xdr:rowOff>
                  </from>
                  <to>
                    <xdr:col>2</xdr:col>
                    <xdr:colOff>717550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120650</xdr:rowOff>
                  </from>
                  <to>
                    <xdr:col>2</xdr:col>
                    <xdr:colOff>717550</xdr:colOff>
                    <xdr:row>39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114300</xdr:rowOff>
                  </from>
                  <to>
                    <xdr:col>2</xdr:col>
                    <xdr:colOff>717550</xdr:colOff>
                    <xdr:row>45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120650</xdr:rowOff>
                  </from>
                  <to>
                    <xdr:col>2</xdr:col>
                    <xdr:colOff>717550</xdr:colOff>
                    <xdr:row>72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146050</xdr:rowOff>
                  </from>
                  <to>
                    <xdr:col>2</xdr:col>
                    <xdr:colOff>717550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120650</xdr:rowOff>
                  </from>
                  <to>
                    <xdr:col>2</xdr:col>
                    <xdr:colOff>717550</xdr:colOff>
                    <xdr:row>40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114300</xdr:rowOff>
                  </from>
                  <to>
                    <xdr:col>2</xdr:col>
                    <xdr:colOff>717550</xdr:colOff>
                    <xdr:row>46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72</xdr:row>
                    <xdr:rowOff>120650</xdr:rowOff>
                  </from>
                  <to>
                    <xdr:col>2</xdr:col>
                    <xdr:colOff>717550</xdr:colOff>
                    <xdr:row>73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120650</xdr:rowOff>
                  </from>
                  <to>
                    <xdr:col>5</xdr:col>
                    <xdr:colOff>914400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120650</xdr:rowOff>
                  </from>
                  <to>
                    <xdr:col>5</xdr:col>
                    <xdr:colOff>914400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120650</xdr:rowOff>
                  </from>
                  <to>
                    <xdr:col>5</xdr:col>
                    <xdr:colOff>914400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120650</xdr:rowOff>
                  </from>
                  <to>
                    <xdr:col>5</xdr:col>
                    <xdr:colOff>914400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146050</xdr:rowOff>
                  </from>
                  <to>
                    <xdr:col>5</xdr:col>
                    <xdr:colOff>914400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120650</xdr:rowOff>
                  </from>
                  <to>
                    <xdr:col>5</xdr:col>
                    <xdr:colOff>914400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120650</xdr:rowOff>
                  </from>
                  <to>
                    <xdr:col>5</xdr:col>
                    <xdr:colOff>914400</xdr:colOff>
                    <xdr:row>71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120650</xdr:rowOff>
                  </from>
                  <to>
                    <xdr:col>5</xdr:col>
                    <xdr:colOff>908050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146050</xdr:rowOff>
                  </from>
                  <to>
                    <xdr:col>5</xdr:col>
                    <xdr:colOff>914400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120650</xdr:rowOff>
                  </from>
                  <to>
                    <xdr:col>5</xdr:col>
                    <xdr:colOff>914400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120650</xdr:rowOff>
                  </from>
                  <to>
                    <xdr:col>5</xdr:col>
                    <xdr:colOff>914400</xdr:colOff>
                    <xdr:row>72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120650</xdr:rowOff>
                  </from>
                  <to>
                    <xdr:col>5</xdr:col>
                    <xdr:colOff>914400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146050</xdr:rowOff>
                  </from>
                  <to>
                    <xdr:col>5</xdr:col>
                    <xdr:colOff>914400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120650</xdr:rowOff>
                  </from>
                  <to>
                    <xdr:col>5</xdr:col>
                    <xdr:colOff>914400</xdr:colOff>
                    <xdr:row>47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120650</xdr:rowOff>
                  </from>
                  <to>
                    <xdr:col>5</xdr:col>
                    <xdr:colOff>914400</xdr:colOff>
                    <xdr:row>73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4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158750</xdr:rowOff>
                  </from>
                  <to>
                    <xdr:col>2</xdr:col>
                    <xdr:colOff>685800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5" name="Check Box 87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158750</xdr:rowOff>
                  </from>
                  <to>
                    <xdr:col>2</xdr:col>
                    <xdr:colOff>717550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158750</xdr:rowOff>
                  </from>
                  <to>
                    <xdr:col>2</xdr:col>
                    <xdr:colOff>717550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158750</xdr:rowOff>
                  </from>
                  <to>
                    <xdr:col>5</xdr:col>
                    <xdr:colOff>914400</xdr:colOff>
                    <xdr:row>51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158750</xdr:rowOff>
                  </from>
                  <to>
                    <xdr:col>5</xdr:col>
                    <xdr:colOff>914400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158750</xdr:rowOff>
                  </from>
                  <to>
                    <xdr:col>5</xdr:col>
                    <xdr:colOff>914400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0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158750</xdr:rowOff>
                  </from>
                  <to>
                    <xdr:col>2</xdr:col>
                    <xdr:colOff>685800</xdr:colOff>
                    <xdr:row>66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1" name="Check Box 94">
              <controlPr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158750</xdr:rowOff>
                  </from>
                  <to>
                    <xdr:col>2</xdr:col>
                    <xdr:colOff>717550</xdr:colOff>
                    <xdr:row>67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2" name="Check Box 95">
              <controlPr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158750</xdr:rowOff>
                  </from>
                  <to>
                    <xdr:col>2</xdr:col>
                    <xdr:colOff>717550</xdr:colOff>
                    <xdr:row>68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3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158750</xdr:rowOff>
                  </from>
                  <to>
                    <xdr:col>5</xdr:col>
                    <xdr:colOff>914400</xdr:colOff>
                    <xdr:row>66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4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158750</xdr:rowOff>
                  </from>
                  <to>
                    <xdr:col>5</xdr:col>
                    <xdr:colOff>914400</xdr:colOff>
                    <xdr:row>67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5" name="Check Box 98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158750</xdr:rowOff>
                  </from>
                  <to>
                    <xdr:col>5</xdr:col>
                    <xdr:colOff>914400</xdr:colOff>
                    <xdr:row>68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6" name="Check Box 118">
              <controlPr defaultSize="0" autoFill="0" autoLine="0" autoPict="0">
                <anchor moveWithCells="1">
                  <from>
                    <xdr:col>2</xdr:col>
                    <xdr:colOff>0</xdr:colOff>
                    <xdr:row>76</xdr:row>
                    <xdr:rowOff>114300</xdr:rowOff>
                  </from>
                  <to>
                    <xdr:col>2</xdr:col>
                    <xdr:colOff>685800</xdr:colOff>
                    <xdr:row>77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7" name="Check Box 119">
              <controlPr defaultSize="0" autoFill="0" autoLine="0" autoPict="0">
                <anchor moveWithCells="1">
                  <from>
                    <xdr:col>2</xdr:col>
                    <xdr:colOff>0</xdr:colOff>
                    <xdr:row>77</xdr:row>
                    <xdr:rowOff>114300</xdr:rowOff>
                  </from>
                  <to>
                    <xdr:col>2</xdr:col>
                    <xdr:colOff>717550</xdr:colOff>
                    <xdr:row>78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>
                  <from>
                    <xdr:col>2</xdr:col>
                    <xdr:colOff>0</xdr:colOff>
                    <xdr:row>78</xdr:row>
                    <xdr:rowOff>114300</xdr:rowOff>
                  </from>
                  <to>
                    <xdr:col>2</xdr:col>
                    <xdr:colOff>717550</xdr:colOff>
                    <xdr:row>79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9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120650</xdr:rowOff>
                  </from>
                  <to>
                    <xdr:col>5</xdr:col>
                    <xdr:colOff>914400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0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120650</xdr:rowOff>
                  </from>
                  <to>
                    <xdr:col>5</xdr:col>
                    <xdr:colOff>914400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1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120650</xdr:rowOff>
                  </from>
                  <to>
                    <xdr:col>5</xdr:col>
                    <xdr:colOff>914400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2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82</xdr:row>
                    <xdr:rowOff>120650</xdr:rowOff>
                  </from>
                  <to>
                    <xdr:col>2</xdr:col>
                    <xdr:colOff>685800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3" name="Check Box 126">
              <controlPr defaultSize="0" autoFill="0" autoLine="0" autoPict="0">
                <anchor moveWithCells="1">
                  <from>
                    <xdr:col>2</xdr:col>
                    <xdr:colOff>0</xdr:colOff>
                    <xdr:row>83</xdr:row>
                    <xdr:rowOff>120650</xdr:rowOff>
                  </from>
                  <to>
                    <xdr:col>2</xdr:col>
                    <xdr:colOff>717550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4" name="Check Box 127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120650</xdr:rowOff>
                  </from>
                  <to>
                    <xdr:col>2</xdr:col>
                    <xdr:colOff>717550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5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120650</xdr:rowOff>
                  </from>
                  <to>
                    <xdr:col>5</xdr:col>
                    <xdr:colOff>914400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6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120650</xdr:rowOff>
                  </from>
                  <to>
                    <xdr:col>5</xdr:col>
                    <xdr:colOff>914400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7" name="Check Box 1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120650</xdr:rowOff>
                  </from>
                  <to>
                    <xdr:col>5</xdr:col>
                    <xdr:colOff>914400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'Skatteregler mm'!$B$50:$B$52</xm:f>
          </x14:formula1>
          <xm:sqref>F23</xm:sqref>
        </x14:dataValidation>
        <x14:dataValidation type="list" allowBlank="1" showInputMessage="1" showErrorMessage="1" xr:uid="{00000000-0002-0000-0000-000009000000}">
          <x14:formula1>
            <xm:f>Utlandstraktamenten!$B$6:$B$174</xm:f>
          </x14:formula1>
          <xm:sqref>D5:E5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outlinePr showOutlineSymbols="0"/>
  </sheetPr>
  <dimension ref="A1:J64"/>
  <sheetViews>
    <sheetView showOutlineSymbols="0" workbookViewId="0">
      <selection activeCell="D64" sqref="D64"/>
    </sheetView>
  </sheetViews>
  <sheetFormatPr defaultColWidth="8.90625" defaultRowHeight="13" x14ac:dyDescent="0.3"/>
  <cols>
    <col min="1" max="1" width="8.90625" style="21"/>
    <col min="2" max="2" width="28" style="21" customWidth="1"/>
    <col min="3" max="3" width="8.90625" style="21"/>
    <col min="4" max="5" width="18.453125" style="21" customWidth="1"/>
    <col min="6" max="6" width="13.08984375" style="21" customWidth="1"/>
    <col min="7" max="7" width="15.6328125" style="21" bestFit="1" customWidth="1"/>
    <col min="8" max="8" width="9.453125" style="21" bestFit="1" customWidth="1"/>
    <col min="9" max="16384" width="8.90625" style="21"/>
  </cols>
  <sheetData>
    <row r="1" spans="1:7" s="30" customFormat="1" ht="18.5" x14ac:dyDescent="0.45">
      <c r="A1" s="52" t="s">
        <v>324</v>
      </c>
    </row>
    <row r="2" spans="1:7" s="30" customFormat="1" ht="15.5" x14ac:dyDescent="0.35">
      <c r="A2" s="30" t="s">
        <v>286</v>
      </c>
    </row>
    <row r="3" spans="1:7" s="30" customFormat="1" ht="15.5" x14ac:dyDescent="0.35">
      <c r="A3" s="30" t="s">
        <v>314</v>
      </c>
    </row>
    <row r="4" spans="1:7" s="30" customFormat="1" ht="15.5" x14ac:dyDescent="0.35">
      <c r="B4" s="30">
        <f>IF(B3='Uträkning bilersättning'!B50,'Skatteregler mm'!D50)</f>
        <v>2.5</v>
      </c>
    </row>
    <row r="5" spans="1:7" s="30" customFormat="1" ht="15.5" x14ac:dyDescent="0.35"/>
    <row r="6" spans="1:7" ht="18.5" x14ac:dyDescent="0.45">
      <c r="A6" s="52" t="s">
        <v>38</v>
      </c>
      <c r="B6" s="52"/>
      <c r="E6" s="52" t="s">
        <v>170</v>
      </c>
      <c r="F6" s="28" t="s">
        <v>11</v>
      </c>
    </row>
    <row r="7" spans="1:7" ht="15.5" x14ac:dyDescent="0.35">
      <c r="A7" s="30"/>
      <c r="B7" s="30"/>
      <c r="C7" s="30"/>
      <c r="D7" s="53" t="s">
        <v>10</v>
      </c>
      <c r="E7" s="30">
        <f>Reseräkning!D5</f>
        <v>0</v>
      </c>
    </row>
    <row r="8" spans="1:7" ht="15.5" x14ac:dyDescent="0.35">
      <c r="A8" s="30" t="s">
        <v>19</v>
      </c>
      <c r="B8" s="30" t="s">
        <v>9</v>
      </c>
      <c r="C8" s="30"/>
      <c r="D8" s="29">
        <v>290</v>
      </c>
      <c r="E8" s="54" t="str">
        <f>Reseräkning!G5</f>
        <v/>
      </c>
      <c r="F8" s="29">
        <v>0</v>
      </c>
      <c r="G8" s="29"/>
    </row>
    <row r="9" spans="1:7" ht="15.5" x14ac:dyDescent="0.35">
      <c r="A9" s="30"/>
      <c r="B9" s="30"/>
      <c r="C9" s="30"/>
      <c r="D9" s="29"/>
      <c r="F9" s="29"/>
      <c r="G9" s="29"/>
    </row>
    <row r="10" spans="1:7" ht="15.5" x14ac:dyDescent="0.35">
      <c r="A10" s="30" t="s">
        <v>20</v>
      </c>
      <c r="B10" s="30" t="s">
        <v>12</v>
      </c>
      <c r="C10" s="30"/>
      <c r="D10" s="29"/>
      <c r="F10" s="29"/>
      <c r="G10" s="29"/>
    </row>
    <row r="11" spans="1:7" ht="15.5" x14ac:dyDescent="0.35">
      <c r="A11" s="30"/>
      <c r="B11" s="55" t="s">
        <v>14</v>
      </c>
      <c r="C11" s="56">
        <v>0.5</v>
      </c>
      <c r="D11" s="29">
        <v>290</v>
      </c>
      <c r="F11" s="29">
        <v>0</v>
      </c>
      <c r="G11" s="29"/>
    </row>
    <row r="12" spans="1:7" ht="15.5" x14ac:dyDescent="0.35">
      <c r="A12" s="30"/>
      <c r="B12" s="30" t="s">
        <v>15</v>
      </c>
      <c r="C12" s="56">
        <v>0.5</v>
      </c>
      <c r="D12" s="29">
        <v>145</v>
      </c>
      <c r="F12" s="29">
        <v>0</v>
      </c>
      <c r="G12" s="29"/>
    </row>
    <row r="13" spans="1:7" ht="15.5" x14ac:dyDescent="0.35">
      <c r="A13" s="30"/>
      <c r="B13" s="30"/>
      <c r="C13" s="30"/>
      <c r="D13" s="29"/>
      <c r="F13" s="29"/>
      <c r="G13" s="29"/>
    </row>
    <row r="14" spans="1:7" ht="15.5" x14ac:dyDescent="0.35">
      <c r="A14" s="30" t="s">
        <v>21</v>
      </c>
      <c r="B14" s="30" t="s">
        <v>13</v>
      </c>
      <c r="C14" s="30"/>
      <c r="D14" s="29"/>
      <c r="F14" s="29"/>
      <c r="G14" s="29"/>
    </row>
    <row r="15" spans="1:7" ht="15.5" x14ac:dyDescent="0.35">
      <c r="A15" s="30"/>
      <c r="B15" s="30" t="s">
        <v>16</v>
      </c>
      <c r="C15" s="56">
        <v>0.79166666666666663</v>
      </c>
      <c r="D15" s="29">
        <v>145</v>
      </c>
      <c r="F15" s="29">
        <v>0</v>
      </c>
      <c r="G15" s="29"/>
    </row>
    <row r="16" spans="1:7" ht="15.5" x14ac:dyDescent="0.35">
      <c r="A16" s="30"/>
      <c r="B16" s="30" t="s">
        <v>17</v>
      </c>
      <c r="C16" s="56">
        <v>0.79166666666666663</v>
      </c>
      <c r="D16" s="29">
        <v>290</v>
      </c>
      <c r="F16" s="29">
        <v>0</v>
      </c>
      <c r="G16" s="29"/>
    </row>
    <row r="17" spans="1:10" ht="15.5" x14ac:dyDescent="0.35">
      <c r="A17" s="30"/>
      <c r="B17" s="30"/>
      <c r="C17" s="30"/>
      <c r="D17" s="29"/>
    </row>
    <row r="18" spans="1:10" ht="15.5" x14ac:dyDescent="0.35">
      <c r="A18" s="30" t="s">
        <v>22</v>
      </c>
      <c r="B18" s="30" t="s">
        <v>35</v>
      </c>
      <c r="C18" s="30"/>
      <c r="D18" s="29">
        <f>D8*0.5</f>
        <v>145</v>
      </c>
      <c r="E18" s="54" t="e">
        <f>E8*0.5</f>
        <v>#VALUE!</v>
      </c>
    </row>
    <row r="19" spans="1:10" x14ac:dyDescent="0.3">
      <c r="D19" s="57"/>
    </row>
    <row r="20" spans="1:10" x14ac:dyDescent="0.3">
      <c r="D20" s="57"/>
    </row>
    <row r="21" spans="1:10" ht="18.5" x14ac:dyDescent="0.45">
      <c r="A21" s="52" t="s">
        <v>29</v>
      </c>
      <c r="B21" s="52"/>
      <c r="D21" s="57"/>
    </row>
    <row r="22" spans="1:10" ht="15.5" x14ac:dyDescent="0.35">
      <c r="A22" s="30"/>
      <c r="B22" s="30"/>
      <c r="C22" s="30"/>
      <c r="D22" s="29"/>
    </row>
    <row r="23" spans="1:10" ht="15.5" x14ac:dyDescent="0.35">
      <c r="A23" s="30"/>
      <c r="B23" s="30" t="s">
        <v>41</v>
      </c>
      <c r="C23" s="30"/>
      <c r="D23" s="29"/>
    </row>
    <row r="24" spans="1:10" ht="15.5" x14ac:dyDescent="0.35">
      <c r="A24" s="30"/>
      <c r="B24" s="30" t="s">
        <v>30</v>
      </c>
      <c r="C24" s="30"/>
      <c r="D24" s="29"/>
    </row>
    <row r="25" spans="1:10" ht="15.5" x14ac:dyDescent="0.35">
      <c r="A25" s="30"/>
      <c r="B25" s="30"/>
      <c r="C25" s="30"/>
      <c r="D25" s="29"/>
    </row>
    <row r="26" spans="1:10" x14ac:dyDescent="0.3">
      <c r="D26" s="57"/>
    </row>
    <row r="27" spans="1:10" ht="18.5" x14ac:dyDescent="0.45">
      <c r="A27" s="52" t="s">
        <v>18</v>
      </c>
      <c r="B27" s="52"/>
      <c r="D27" s="57"/>
    </row>
    <row r="28" spans="1:10" ht="15.5" x14ac:dyDescent="0.35">
      <c r="D28" s="57"/>
      <c r="E28" s="30"/>
      <c r="F28" s="30"/>
    </row>
    <row r="29" spans="1:10" ht="15.5" x14ac:dyDescent="0.35">
      <c r="A29" s="30" t="s">
        <v>23</v>
      </c>
      <c r="B29" s="30"/>
      <c r="C29" s="30"/>
      <c r="D29" s="29"/>
    </row>
    <row r="30" spans="1:10" ht="15.5" x14ac:dyDescent="0.35">
      <c r="A30" s="30"/>
      <c r="B30" s="30" t="s">
        <v>24</v>
      </c>
      <c r="C30" s="30"/>
      <c r="D30" s="29">
        <v>247</v>
      </c>
      <c r="E30" s="58">
        <v>0.85</v>
      </c>
      <c r="F30" s="59" t="e">
        <f>$E$8*E30</f>
        <v>#VALUE!</v>
      </c>
      <c r="G30" s="60"/>
      <c r="H30" s="60"/>
      <c r="I30" s="60"/>
      <c r="J30" s="60"/>
    </row>
    <row r="31" spans="1:10" ht="15.5" x14ac:dyDescent="0.35">
      <c r="A31" s="30"/>
      <c r="B31" s="30" t="s">
        <v>25</v>
      </c>
      <c r="C31" s="30"/>
      <c r="D31" s="29">
        <v>203</v>
      </c>
      <c r="E31" s="58">
        <v>0.7</v>
      </c>
      <c r="F31" s="59" t="e">
        <f>$E$8*E31</f>
        <v>#VALUE!</v>
      </c>
      <c r="G31" s="61"/>
      <c r="H31" s="61"/>
      <c r="I31" s="61"/>
      <c r="J31" s="61"/>
    </row>
    <row r="32" spans="1:10" ht="15.5" x14ac:dyDescent="0.35">
      <c r="A32" s="30"/>
      <c r="B32" s="30" t="s">
        <v>26</v>
      </c>
      <c r="C32" s="30"/>
      <c r="D32" s="29">
        <v>102</v>
      </c>
      <c r="E32" s="58">
        <v>0.35</v>
      </c>
      <c r="F32" s="59" t="e">
        <f>$E$8*E32</f>
        <v>#VALUE!</v>
      </c>
      <c r="G32" s="61"/>
      <c r="H32" s="61"/>
      <c r="I32" s="61"/>
      <c r="J32" s="61"/>
    </row>
    <row r="33" spans="1:10" ht="15.5" x14ac:dyDescent="0.35">
      <c r="A33" s="30"/>
      <c r="B33" s="30" t="s">
        <v>27</v>
      </c>
      <c r="C33" s="30"/>
      <c r="D33" s="29">
        <v>44</v>
      </c>
      <c r="E33" s="58">
        <v>0.15</v>
      </c>
      <c r="F33" s="59" t="e">
        <f>$E$8*E33</f>
        <v>#VALUE!</v>
      </c>
      <c r="G33" s="61"/>
      <c r="H33" s="61"/>
      <c r="I33" s="61"/>
      <c r="J33" s="61"/>
    </row>
    <row r="34" spans="1:10" ht="15.5" x14ac:dyDescent="0.35">
      <c r="A34" s="30"/>
      <c r="B34" s="30"/>
      <c r="C34" s="30"/>
      <c r="D34" s="29"/>
      <c r="E34" s="62"/>
      <c r="F34" s="59"/>
      <c r="G34" s="61"/>
      <c r="H34" s="61"/>
      <c r="I34" s="61"/>
      <c r="J34" s="61"/>
    </row>
    <row r="35" spans="1:10" ht="15.5" x14ac:dyDescent="0.35">
      <c r="A35" s="30" t="s">
        <v>28</v>
      </c>
      <c r="B35" s="30"/>
      <c r="C35" s="30"/>
      <c r="D35" s="29"/>
      <c r="E35" s="62"/>
      <c r="F35" s="59"/>
      <c r="G35" s="61"/>
      <c r="H35" s="61"/>
      <c r="I35" s="61"/>
      <c r="J35" s="61"/>
    </row>
    <row r="36" spans="1:10" ht="15.5" x14ac:dyDescent="0.35">
      <c r="A36" s="30"/>
      <c r="B36" s="30" t="s">
        <v>24</v>
      </c>
      <c r="C36" s="30"/>
      <c r="D36" s="29">
        <v>123</v>
      </c>
      <c r="E36" s="58">
        <v>0.85</v>
      </c>
      <c r="F36" s="59" t="e">
        <f>$E$8*0.5*E36</f>
        <v>#VALUE!</v>
      </c>
    </row>
    <row r="37" spans="1:10" ht="15.5" x14ac:dyDescent="0.35">
      <c r="A37" s="30"/>
      <c r="B37" s="30" t="s">
        <v>25</v>
      </c>
      <c r="C37" s="30"/>
      <c r="D37" s="29">
        <v>102</v>
      </c>
      <c r="E37" s="58">
        <v>0.7</v>
      </c>
      <c r="F37" s="59" t="e">
        <f>$E$8*0.5*E37</f>
        <v>#VALUE!</v>
      </c>
    </row>
    <row r="38" spans="1:10" ht="15.5" x14ac:dyDescent="0.35">
      <c r="A38" s="30"/>
      <c r="B38" s="30" t="s">
        <v>26</v>
      </c>
      <c r="C38" s="30"/>
      <c r="D38" s="29">
        <v>51</v>
      </c>
      <c r="E38" s="58">
        <v>0.35</v>
      </c>
      <c r="F38" s="59" t="e">
        <f>$E$8*0.5*E38</f>
        <v>#VALUE!</v>
      </c>
    </row>
    <row r="39" spans="1:10" ht="15.5" x14ac:dyDescent="0.35">
      <c r="A39" s="30"/>
      <c r="B39" s="30" t="s">
        <v>27</v>
      </c>
      <c r="C39" s="30"/>
      <c r="D39" s="29">
        <v>22</v>
      </c>
      <c r="E39" s="58">
        <v>0.15</v>
      </c>
      <c r="F39" s="59" t="e">
        <f>$E$8*0.5*E39</f>
        <v>#VALUE!</v>
      </c>
    </row>
    <row r="40" spans="1:10" x14ac:dyDescent="0.3">
      <c r="D40" s="57"/>
    </row>
    <row r="41" spans="1:10" ht="15.5" x14ac:dyDescent="0.35">
      <c r="A41" s="30" t="s">
        <v>36</v>
      </c>
      <c r="B41" s="53"/>
      <c r="C41" s="30"/>
      <c r="D41" s="29"/>
    </row>
    <row r="42" spans="1:10" ht="15.5" x14ac:dyDescent="0.35">
      <c r="A42" s="30"/>
      <c r="B42" s="30" t="s">
        <v>27</v>
      </c>
      <c r="C42" s="30"/>
      <c r="D42" s="29"/>
    </row>
    <row r="43" spans="1:10" ht="15.5" x14ac:dyDescent="0.35">
      <c r="A43" s="30"/>
      <c r="B43" s="30" t="s">
        <v>31</v>
      </c>
      <c r="C43" s="30"/>
      <c r="D43" s="29"/>
    </row>
    <row r="44" spans="1:10" ht="15.5" x14ac:dyDescent="0.35">
      <c r="A44" s="30"/>
      <c r="B44" s="30" t="s">
        <v>32</v>
      </c>
      <c r="C44" s="30"/>
      <c r="D44" s="29"/>
    </row>
    <row r="45" spans="1:10" ht="15.5" x14ac:dyDescent="0.35">
      <c r="A45" s="30"/>
      <c r="B45" s="30" t="s">
        <v>37</v>
      </c>
      <c r="C45" s="30"/>
      <c r="D45" s="29"/>
    </row>
    <row r="46" spans="1:10" x14ac:dyDescent="0.3">
      <c r="D46" s="57"/>
    </row>
    <row r="47" spans="1:10" x14ac:dyDescent="0.3">
      <c r="D47" s="57"/>
    </row>
    <row r="48" spans="1:10" ht="18.5" x14ac:dyDescent="0.45">
      <c r="A48" s="52" t="s">
        <v>33</v>
      </c>
    </row>
    <row r="49" spans="1:10" ht="15.5" x14ac:dyDescent="0.35">
      <c r="A49" s="30"/>
      <c r="B49" s="30"/>
      <c r="C49" s="30" t="s">
        <v>39</v>
      </c>
      <c r="D49" s="29" t="s">
        <v>34</v>
      </c>
      <c r="E49" s="29" t="s">
        <v>288</v>
      </c>
    </row>
    <row r="50" spans="1:10" ht="15.5" x14ac:dyDescent="0.35">
      <c r="A50" s="30"/>
      <c r="B50" s="30" t="s">
        <v>289</v>
      </c>
      <c r="C50" s="29">
        <v>2.5</v>
      </c>
      <c r="D50" s="29">
        <v>2.5</v>
      </c>
      <c r="E50" s="63">
        <v>0</v>
      </c>
    </row>
    <row r="51" spans="1:10" ht="15.5" x14ac:dyDescent="0.35">
      <c r="A51" s="30"/>
      <c r="B51" s="30" t="s">
        <v>321</v>
      </c>
      <c r="C51" s="29">
        <v>1.2</v>
      </c>
      <c r="D51" s="29">
        <v>1.2</v>
      </c>
      <c r="E51" s="63">
        <v>0</v>
      </c>
    </row>
    <row r="52" spans="1:10" ht="15.5" x14ac:dyDescent="0.35">
      <c r="A52" s="30"/>
      <c r="B52" s="30" t="s">
        <v>320</v>
      </c>
      <c r="C52" s="29">
        <v>0.95</v>
      </c>
      <c r="D52" s="29">
        <v>0.9</v>
      </c>
      <c r="E52" s="63">
        <v>0</v>
      </c>
    </row>
    <row r="53" spans="1:10" ht="15.5" x14ac:dyDescent="0.35">
      <c r="A53" s="30"/>
      <c r="B53" s="30"/>
      <c r="C53" s="30"/>
      <c r="D53" s="29"/>
      <c r="E53" s="29"/>
    </row>
    <row r="54" spans="1:10" ht="15.5" x14ac:dyDescent="0.35">
      <c r="A54" s="30"/>
      <c r="B54" s="30"/>
      <c r="C54" s="30"/>
      <c r="D54" s="29"/>
    </row>
    <row r="55" spans="1:10" ht="15.5" x14ac:dyDescent="0.35">
      <c r="A55" s="30"/>
      <c r="B55" s="30"/>
      <c r="C55" s="30"/>
      <c r="D55" s="30"/>
    </row>
    <row r="58" spans="1:10" ht="18.5" x14ac:dyDescent="0.45">
      <c r="A58" s="52" t="s">
        <v>55</v>
      </c>
    </row>
    <row r="59" spans="1:10" ht="15.5" x14ac:dyDescent="0.35">
      <c r="B59" s="30"/>
      <c r="C59" s="30"/>
      <c r="D59" s="30"/>
      <c r="G59" s="64"/>
    </row>
    <row r="60" spans="1:10" ht="15.5" x14ac:dyDescent="0.35">
      <c r="B60" s="30" t="s">
        <v>56</v>
      </c>
      <c r="C60" s="30"/>
      <c r="D60" s="54">
        <v>60</v>
      </c>
      <c r="G60" s="64"/>
      <c r="H60" s="64"/>
      <c r="J60" s="64"/>
    </row>
    <row r="61" spans="1:10" ht="15.5" x14ac:dyDescent="0.35">
      <c r="B61" s="30" t="s">
        <v>57</v>
      </c>
      <c r="C61" s="30"/>
      <c r="D61" s="54">
        <v>120</v>
      </c>
      <c r="H61" s="61"/>
      <c r="J61" s="61"/>
    </row>
    <row r="62" spans="1:10" ht="15.5" x14ac:dyDescent="0.35">
      <c r="B62" s="30" t="s">
        <v>58</v>
      </c>
      <c r="C62" s="30"/>
      <c r="D62" s="54">
        <v>120</v>
      </c>
      <c r="H62" s="61"/>
      <c r="J62" s="61"/>
    </row>
    <row r="63" spans="1:10" ht="15.5" x14ac:dyDescent="0.35">
      <c r="B63" s="30" t="s">
        <v>64</v>
      </c>
      <c r="C63" s="30"/>
      <c r="D63" s="54">
        <v>300</v>
      </c>
      <c r="H63" s="61"/>
      <c r="J63" s="61"/>
    </row>
    <row r="64" spans="1:10" x14ac:dyDescent="0.3">
      <c r="H64" s="64"/>
      <c r="J64" s="64"/>
    </row>
  </sheetData>
  <protectedRanges>
    <protectedRange algorithmName="SHA-512" hashValue="1U7Ze1m4kyup3OEBBArwOx0blCRH6AbFEhSEZQExwtsZx9JNIoNuOih1Fz+YfJ4c1pYp8kCfQIHhU4xlD2JCFA==" saltValue="Nt23BEJLCbbNI0vS5iVBJA==" spinCount="100000" sqref="E50:E53" name="Skattefri milersättning"/>
  </protectedRanges>
  <phoneticPr fontId="0" type="noConversion"/>
  <conditionalFormatting sqref="F30:F33 F36:F39">
    <cfRule type="expression" dxfId="0" priority="1" stopIfTrue="1">
      <formula>ISERROR($F$30)</formula>
    </cfRule>
  </conditionalFormatting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E189"/>
  <sheetViews>
    <sheetView zoomScale="115" zoomScaleNormal="115" zoomScalePageLayoutView="115" workbookViewId="0">
      <selection activeCell="C174" sqref="C174"/>
    </sheetView>
  </sheetViews>
  <sheetFormatPr defaultColWidth="8.90625" defaultRowHeight="13" x14ac:dyDescent="0.3"/>
  <cols>
    <col min="1" max="1" width="8.90625" style="21"/>
    <col min="2" max="2" width="36.453125" style="49" customWidth="1"/>
    <col min="3" max="3" width="8.453125" style="50" customWidth="1"/>
    <col min="4" max="4" width="13.453125" style="21" bestFit="1" customWidth="1"/>
    <col min="5" max="16384" width="8.90625" style="21"/>
  </cols>
  <sheetData>
    <row r="1" spans="1:5" ht="23.5" x14ac:dyDescent="0.55000000000000004">
      <c r="B1" s="38" t="s">
        <v>323</v>
      </c>
      <c r="C1" s="39"/>
    </row>
    <row r="2" spans="1:5" ht="15.5" x14ac:dyDescent="0.35">
      <c r="A2" s="40"/>
      <c r="B2" s="41"/>
      <c r="C2" s="42" t="s">
        <v>169</v>
      </c>
    </row>
    <row r="3" spans="1:5" ht="14.5" x14ac:dyDescent="0.3">
      <c r="B3" s="43" t="s">
        <v>77</v>
      </c>
      <c r="C3" s="44" t="s">
        <v>76</v>
      </c>
    </row>
    <row r="4" spans="1:5" ht="14.5" x14ac:dyDescent="0.3">
      <c r="B4" s="43"/>
      <c r="C4" s="44"/>
    </row>
    <row r="5" spans="1:5" ht="15" customHeight="1" x14ac:dyDescent="0.3">
      <c r="B5" s="45"/>
      <c r="C5" s="46"/>
      <c r="D5" s="47"/>
    </row>
    <row r="6" spans="1:5" ht="15" customHeight="1" x14ac:dyDescent="0.35">
      <c r="B6" s="133" t="s">
        <v>303</v>
      </c>
      <c r="C6" s="67">
        <v>322</v>
      </c>
      <c r="D6" s="139"/>
      <c r="E6" s="133"/>
    </row>
    <row r="7" spans="1:5" ht="15" customHeight="1" x14ac:dyDescent="0.35">
      <c r="B7" s="133" t="s">
        <v>78</v>
      </c>
      <c r="C7" s="67">
        <v>388</v>
      </c>
      <c r="D7" s="139"/>
      <c r="E7" s="133"/>
    </row>
    <row r="8" spans="1:5" ht="15" customHeight="1" x14ac:dyDescent="0.35">
      <c r="B8" s="133" t="s">
        <v>261</v>
      </c>
      <c r="C8" s="67">
        <v>530</v>
      </c>
      <c r="D8" s="139"/>
      <c r="E8" s="133"/>
    </row>
    <row r="9" spans="1:5" ht="15" customHeight="1" x14ac:dyDescent="0.35">
      <c r="B9" s="133" t="s">
        <v>253</v>
      </c>
      <c r="C9" s="67">
        <v>834</v>
      </c>
      <c r="D9" s="139"/>
      <c r="E9" s="133"/>
    </row>
    <row r="10" spans="1:5" ht="15" customHeight="1" x14ac:dyDescent="0.35">
      <c r="B10" s="133" t="s">
        <v>79</v>
      </c>
      <c r="C10" s="67">
        <v>290</v>
      </c>
      <c r="D10" s="139"/>
      <c r="E10" s="133"/>
    </row>
    <row r="11" spans="1:5" ht="15" customHeight="1" x14ac:dyDescent="0.35">
      <c r="B11" s="133" t="s">
        <v>231</v>
      </c>
      <c r="C11" s="67">
        <v>557</v>
      </c>
      <c r="D11" s="139"/>
      <c r="E11" s="133"/>
    </row>
    <row r="12" spans="1:5" ht="15" customHeight="1" x14ac:dyDescent="0.35">
      <c r="B12" s="133" t="s">
        <v>80</v>
      </c>
      <c r="C12" s="67">
        <v>817</v>
      </c>
      <c r="D12" s="139"/>
      <c r="E12" s="133"/>
    </row>
    <row r="13" spans="1:5" ht="15" customHeight="1" x14ac:dyDescent="0.35">
      <c r="B13" s="133" t="s">
        <v>81</v>
      </c>
      <c r="C13" s="67">
        <v>471</v>
      </c>
      <c r="D13" s="139"/>
      <c r="E13" s="133"/>
    </row>
    <row r="14" spans="1:5" ht="15" customHeight="1" x14ac:dyDescent="0.35">
      <c r="B14" s="133" t="s">
        <v>82</v>
      </c>
      <c r="C14" s="67">
        <v>1267</v>
      </c>
      <c r="D14" s="139"/>
      <c r="E14" s="133"/>
    </row>
    <row r="15" spans="1:5" ht="15" customHeight="1" x14ac:dyDescent="0.35">
      <c r="B15" s="133" t="s">
        <v>83</v>
      </c>
      <c r="C15" s="67">
        <v>994</v>
      </c>
      <c r="D15" s="139"/>
      <c r="E15" s="133"/>
    </row>
    <row r="16" spans="1:5" ht="15" customHeight="1" x14ac:dyDescent="0.35">
      <c r="B16" s="133" t="s">
        <v>84</v>
      </c>
      <c r="C16" s="67">
        <v>499</v>
      </c>
      <c r="D16" s="139"/>
      <c r="E16" s="133"/>
    </row>
    <row r="17" spans="2:5" ht="15" customHeight="1" x14ac:dyDescent="0.35">
      <c r="B17" s="133" t="s">
        <v>254</v>
      </c>
      <c r="C17" s="67">
        <v>1125</v>
      </c>
      <c r="D17" s="139"/>
      <c r="E17" s="133"/>
    </row>
    <row r="18" spans="2:5" ht="15" customHeight="1" x14ac:dyDescent="0.35">
      <c r="B18" s="133" t="s">
        <v>315</v>
      </c>
      <c r="C18" s="67">
        <v>290</v>
      </c>
      <c r="D18" s="139"/>
      <c r="E18" s="133"/>
    </row>
    <row r="19" spans="2:5" ht="15" customHeight="1" x14ac:dyDescent="0.35">
      <c r="B19" s="133" t="s">
        <v>85</v>
      </c>
      <c r="C19" s="67">
        <v>894</v>
      </c>
      <c r="D19" s="139"/>
      <c r="E19" s="133"/>
    </row>
    <row r="20" spans="2:5" ht="15" customHeight="1" x14ac:dyDescent="0.35">
      <c r="B20" s="133" t="s">
        <v>271</v>
      </c>
      <c r="C20" s="67">
        <v>681</v>
      </c>
      <c r="D20" s="139"/>
      <c r="E20" s="133"/>
    </row>
    <row r="21" spans="2:5" ht="15" customHeight="1" x14ac:dyDescent="0.35">
      <c r="B21" s="133" t="s">
        <v>241</v>
      </c>
      <c r="C21" s="67">
        <v>600</v>
      </c>
      <c r="D21" s="139"/>
      <c r="E21" s="133"/>
    </row>
    <row r="22" spans="2:5" ht="15" customHeight="1" x14ac:dyDescent="0.35">
      <c r="B22" s="133" t="s">
        <v>86</v>
      </c>
      <c r="C22" s="67">
        <v>432</v>
      </c>
      <c r="D22" s="139"/>
      <c r="E22" s="133"/>
    </row>
    <row r="23" spans="2:5" ht="15" customHeight="1" x14ac:dyDescent="0.35">
      <c r="B23" s="133" t="s">
        <v>164</v>
      </c>
      <c r="C23" s="67">
        <v>377</v>
      </c>
      <c r="D23" s="139"/>
      <c r="E23" s="133"/>
    </row>
    <row r="24" spans="2:5" ht="15" customHeight="1" x14ac:dyDescent="0.35">
      <c r="B24" s="133" t="s">
        <v>87</v>
      </c>
      <c r="C24" s="67">
        <v>407</v>
      </c>
      <c r="D24" s="139"/>
      <c r="E24" s="133"/>
    </row>
    <row r="25" spans="2:5" ht="15" customHeight="1" x14ac:dyDescent="0.35">
      <c r="B25" s="133" t="s">
        <v>88</v>
      </c>
      <c r="C25" s="67">
        <v>505</v>
      </c>
      <c r="D25" s="139"/>
      <c r="E25" s="133"/>
    </row>
    <row r="26" spans="2:5" ht="15" customHeight="1" x14ac:dyDescent="0.35">
      <c r="B26" s="133" t="s">
        <v>165</v>
      </c>
      <c r="C26" s="67">
        <v>551</v>
      </c>
      <c r="D26" s="139"/>
      <c r="E26" s="133"/>
    </row>
    <row r="27" spans="2:5" ht="15" customHeight="1" x14ac:dyDescent="0.35">
      <c r="B27" s="133" t="s">
        <v>89</v>
      </c>
      <c r="C27" s="67">
        <v>431</v>
      </c>
      <c r="D27" s="139"/>
      <c r="E27" s="133"/>
    </row>
    <row r="28" spans="2:5" ht="15" customHeight="1" x14ac:dyDescent="0.35">
      <c r="B28" s="133" t="s">
        <v>242</v>
      </c>
      <c r="C28" s="67">
        <v>478</v>
      </c>
      <c r="D28" s="139"/>
      <c r="E28" s="133"/>
    </row>
    <row r="29" spans="2:5" ht="15" customHeight="1" x14ac:dyDescent="0.35">
      <c r="B29" s="133" t="s">
        <v>304</v>
      </c>
      <c r="C29" s="67">
        <v>290</v>
      </c>
      <c r="D29" s="139"/>
      <c r="E29" s="133"/>
    </row>
    <row r="30" spans="2:5" ht="15" customHeight="1" x14ac:dyDescent="0.35">
      <c r="B30" s="133" t="s">
        <v>272</v>
      </c>
      <c r="C30" s="67">
        <v>501</v>
      </c>
      <c r="D30" s="139"/>
      <c r="E30" s="133"/>
    </row>
    <row r="31" spans="2:5" ht="15" customHeight="1" x14ac:dyDescent="0.35">
      <c r="B31" s="133" t="s">
        <v>90</v>
      </c>
      <c r="C31" s="67">
        <v>575</v>
      </c>
      <c r="D31" s="139"/>
      <c r="E31" s="133"/>
    </row>
    <row r="32" spans="2:5" ht="15" customHeight="1" x14ac:dyDescent="0.35">
      <c r="B32" s="133" t="s">
        <v>91</v>
      </c>
      <c r="C32" s="67">
        <v>343</v>
      </c>
      <c r="D32" s="139"/>
      <c r="E32" s="133"/>
    </row>
    <row r="33" spans="1:5" ht="15" customHeight="1" x14ac:dyDescent="0.35">
      <c r="A33" s="40"/>
      <c r="B33" s="133" t="s">
        <v>92</v>
      </c>
      <c r="C33" s="67">
        <v>772</v>
      </c>
      <c r="D33" s="139"/>
      <c r="E33" s="133"/>
    </row>
    <row r="34" spans="1:5" ht="15" customHeight="1" x14ac:dyDescent="0.35">
      <c r="B34" s="133" t="s">
        <v>93</v>
      </c>
      <c r="C34" s="67">
        <v>682</v>
      </c>
      <c r="D34" s="139"/>
      <c r="E34" s="133"/>
    </row>
    <row r="35" spans="1:5" ht="15" customHeight="1" x14ac:dyDescent="0.35">
      <c r="A35" s="40"/>
      <c r="B35" s="133" t="s">
        <v>94</v>
      </c>
      <c r="C35" s="67">
        <v>1274</v>
      </c>
      <c r="D35" s="139"/>
      <c r="E35" s="133"/>
    </row>
    <row r="36" spans="1:5" ht="15" customHeight="1" x14ac:dyDescent="0.35">
      <c r="B36" s="133" t="s">
        <v>243</v>
      </c>
      <c r="C36" s="67">
        <v>697</v>
      </c>
      <c r="D36" s="139"/>
      <c r="E36" s="133"/>
    </row>
    <row r="37" spans="1:5" ht="15" customHeight="1" x14ac:dyDescent="0.35">
      <c r="B37" s="134" t="s">
        <v>95</v>
      </c>
      <c r="C37" s="67">
        <v>703</v>
      </c>
      <c r="D37" s="140"/>
      <c r="E37" s="133"/>
    </row>
    <row r="38" spans="1:5" ht="15" customHeight="1" x14ac:dyDescent="0.35">
      <c r="B38" s="133" t="s">
        <v>96</v>
      </c>
      <c r="C38" s="67">
        <v>290</v>
      </c>
      <c r="D38" s="139"/>
      <c r="E38" s="133"/>
    </row>
    <row r="39" spans="1:5" ht="15" customHeight="1" x14ac:dyDescent="0.35">
      <c r="B39" s="133" t="s">
        <v>238</v>
      </c>
      <c r="C39" s="67">
        <v>766</v>
      </c>
      <c r="D39" s="139"/>
      <c r="E39" s="133"/>
    </row>
    <row r="40" spans="1:5" ht="15" customHeight="1" x14ac:dyDescent="0.35">
      <c r="B40" s="133" t="s">
        <v>319</v>
      </c>
      <c r="C40" s="67">
        <v>574</v>
      </c>
      <c r="D40" s="139"/>
      <c r="E40" s="133"/>
    </row>
    <row r="41" spans="1:5" ht="15" customHeight="1" x14ac:dyDescent="0.35">
      <c r="A41" s="40"/>
      <c r="B41" s="134" t="s">
        <v>262</v>
      </c>
      <c r="C41" s="67">
        <v>504</v>
      </c>
      <c r="D41" s="140"/>
      <c r="E41" s="133"/>
    </row>
    <row r="42" spans="1:5" ht="15" customHeight="1" x14ac:dyDescent="0.35">
      <c r="B42" s="133" t="s">
        <v>97</v>
      </c>
      <c r="C42" s="67">
        <v>611</v>
      </c>
      <c r="D42" s="139"/>
      <c r="E42" s="133"/>
    </row>
    <row r="43" spans="1:5" ht="15" customHeight="1" x14ac:dyDescent="0.35">
      <c r="B43" s="150" t="s">
        <v>318</v>
      </c>
      <c r="C43" s="67">
        <v>290</v>
      </c>
      <c r="D43" s="139"/>
      <c r="E43" s="133"/>
    </row>
    <row r="44" spans="1:5" ht="15" customHeight="1" x14ac:dyDescent="0.35">
      <c r="B44" s="134" t="s">
        <v>239</v>
      </c>
      <c r="C44" s="67">
        <v>310</v>
      </c>
      <c r="D44" s="140"/>
      <c r="E44" s="133"/>
    </row>
    <row r="45" spans="1:5" ht="15" customHeight="1" x14ac:dyDescent="0.35">
      <c r="B45" s="134" t="s">
        <v>98</v>
      </c>
      <c r="C45" s="67">
        <v>563</v>
      </c>
      <c r="D45" s="140"/>
      <c r="E45" s="133"/>
    </row>
    <row r="46" spans="1:5" ht="15" customHeight="1" x14ac:dyDescent="0.35">
      <c r="B46" s="133" t="s">
        <v>99</v>
      </c>
      <c r="C46" s="67">
        <v>948</v>
      </c>
      <c r="D46" s="139"/>
      <c r="E46" s="133"/>
    </row>
    <row r="47" spans="1:5" ht="15" customHeight="1" x14ac:dyDescent="0.35">
      <c r="B47" s="134" t="s">
        <v>100</v>
      </c>
      <c r="C47" s="67">
        <v>935</v>
      </c>
      <c r="D47" s="140"/>
      <c r="E47" s="133"/>
    </row>
    <row r="48" spans="1:5" ht="15" customHeight="1" x14ac:dyDescent="0.35">
      <c r="A48" s="40"/>
      <c r="B48" s="134" t="s">
        <v>232</v>
      </c>
      <c r="C48" s="67">
        <v>1060</v>
      </c>
      <c r="D48" s="140"/>
      <c r="E48" s="133"/>
    </row>
    <row r="49" spans="1:5" ht="15" customHeight="1" x14ac:dyDescent="0.35">
      <c r="B49" s="134" t="s">
        <v>263</v>
      </c>
      <c r="C49" s="67">
        <v>731</v>
      </c>
      <c r="D49" s="140"/>
      <c r="E49" s="133"/>
    </row>
    <row r="50" spans="1:5" ht="15" customHeight="1" x14ac:dyDescent="0.35">
      <c r="B50" s="133" t="s">
        <v>208</v>
      </c>
      <c r="C50" s="67">
        <v>321</v>
      </c>
      <c r="D50" s="139"/>
      <c r="E50" s="133"/>
    </row>
    <row r="51" spans="1:5" ht="15" customHeight="1" x14ac:dyDescent="0.35">
      <c r="B51" s="133" t="s">
        <v>101</v>
      </c>
      <c r="C51" s="67">
        <v>381</v>
      </c>
      <c r="D51" s="139"/>
      <c r="E51" s="133"/>
    </row>
    <row r="52" spans="1:5" ht="15" customHeight="1" x14ac:dyDescent="0.35">
      <c r="B52" s="134" t="s">
        <v>233</v>
      </c>
      <c r="C52" s="67">
        <v>514</v>
      </c>
      <c r="D52" s="140"/>
      <c r="E52" s="133"/>
    </row>
    <row r="53" spans="1:5" ht="15" customHeight="1" x14ac:dyDescent="0.35">
      <c r="B53" s="134" t="s">
        <v>102</v>
      </c>
      <c r="C53" s="67">
        <v>728</v>
      </c>
      <c r="D53" s="140"/>
      <c r="E53" s="133"/>
    </row>
    <row r="54" spans="1:5" ht="15" customHeight="1" x14ac:dyDescent="0.35">
      <c r="B54" s="133" t="s">
        <v>103</v>
      </c>
      <c r="C54" s="67">
        <v>706</v>
      </c>
      <c r="D54" s="139"/>
      <c r="E54" s="133"/>
    </row>
    <row r="55" spans="1:5" ht="15" customHeight="1" x14ac:dyDescent="0.35">
      <c r="B55" s="134" t="s">
        <v>305</v>
      </c>
      <c r="C55" s="67">
        <v>1274</v>
      </c>
      <c r="D55" s="140"/>
      <c r="E55" s="133"/>
    </row>
    <row r="56" spans="1:5" ht="15" customHeight="1" x14ac:dyDescent="0.35">
      <c r="B56" s="133" t="s">
        <v>255</v>
      </c>
      <c r="C56" s="67">
        <v>683</v>
      </c>
      <c r="D56" s="139"/>
      <c r="E56" s="133"/>
    </row>
    <row r="57" spans="1:5" ht="15" customHeight="1" x14ac:dyDescent="0.35">
      <c r="A57" s="40"/>
      <c r="B57" s="133" t="s">
        <v>104</v>
      </c>
      <c r="C57" s="67">
        <v>653</v>
      </c>
      <c r="D57" s="139"/>
      <c r="E57" s="133"/>
    </row>
    <row r="58" spans="1:5" ht="15" customHeight="1" x14ac:dyDescent="0.35">
      <c r="B58" s="134" t="s">
        <v>105</v>
      </c>
      <c r="C58" s="67">
        <v>789</v>
      </c>
      <c r="D58" s="140"/>
      <c r="E58" s="133"/>
    </row>
    <row r="59" spans="1:5" ht="15" customHeight="1" x14ac:dyDescent="0.35">
      <c r="B59" s="134" t="s">
        <v>106</v>
      </c>
      <c r="C59" s="67">
        <v>530</v>
      </c>
      <c r="D59" s="140"/>
      <c r="E59" s="133"/>
    </row>
    <row r="60" spans="1:5" ht="15" customHeight="1" x14ac:dyDescent="0.35">
      <c r="B60" s="134" t="s">
        <v>306</v>
      </c>
      <c r="C60" s="67">
        <v>688</v>
      </c>
      <c r="D60" s="140"/>
      <c r="E60" s="133"/>
    </row>
    <row r="61" spans="1:5" ht="15" customHeight="1" x14ac:dyDescent="0.35">
      <c r="B61" s="134" t="s">
        <v>108</v>
      </c>
      <c r="C61" s="67">
        <v>377</v>
      </c>
      <c r="D61" s="140"/>
      <c r="E61" s="133"/>
    </row>
    <row r="62" spans="1:5" ht="15" customHeight="1" x14ac:dyDescent="0.35">
      <c r="B62" s="133" t="s">
        <v>109</v>
      </c>
      <c r="C62" s="67">
        <v>488</v>
      </c>
      <c r="D62" s="139"/>
      <c r="E62" s="133"/>
    </row>
    <row r="63" spans="1:5" ht="15" customHeight="1" x14ac:dyDescent="0.35">
      <c r="B63" s="133" t="s">
        <v>234</v>
      </c>
      <c r="C63" s="67">
        <v>730</v>
      </c>
      <c r="D63" s="139"/>
      <c r="E63" s="133"/>
    </row>
    <row r="64" spans="1:5" ht="15" customHeight="1" x14ac:dyDescent="0.35">
      <c r="B64" s="134" t="s">
        <v>110</v>
      </c>
      <c r="C64" s="67">
        <v>1011</v>
      </c>
      <c r="D64" s="140"/>
      <c r="E64" s="133"/>
    </row>
    <row r="65" spans="1:5" ht="15" customHeight="1" x14ac:dyDescent="0.35">
      <c r="B65" s="133" t="s">
        <v>111</v>
      </c>
      <c r="C65" s="67">
        <v>1064</v>
      </c>
      <c r="D65" s="139"/>
      <c r="E65" s="133"/>
    </row>
    <row r="66" spans="1:5" ht="15" customHeight="1" x14ac:dyDescent="0.35">
      <c r="B66" s="134" t="s">
        <v>112</v>
      </c>
      <c r="C66" s="67">
        <v>921</v>
      </c>
      <c r="D66" s="140"/>
      <c r="E66" s="134"/>
    </row>
    <row r="67" spans="1:5" ht="15" customHeight="1" x14ac:dyDescent="0.35">
      <c r="B67" s="133" t="s">
        <v>113</v>
      </c>
      <c r="C67" s="67">
        <v>856</v>
      </c>
      <c r="D67" s="139"/>
      <c r="E67" s="133"/>
    </row>
    <row r="68" spans="1:5" ht="15" customHeight="1" x14ac:dyDescent="0.35">
      <c r="B68" s="134" t="s">
        <v>114</v>
      </c>
      <c r="C68" s="67">
        <v>506</v>
      </c>
      <c r="D68" s="140"/>
      <c r="E68" s="133"/>
    </row>
    <row r="69" spans="1:5" ht="15" customHeight="1" x14ac:dyDescent="0.35">
      <c r="B69" s="134" t="s">
        <v>115</v>
      </c>
      <c r="C69" s="67">
        <v>486</v>
      </c>
      <c r="D69" s="140"/>
      <c r="E69" s="133"/>
    </row>
    <row r="70" spans="1:5" ht="15" customHeight="1" x14ac:dyDescent="0.35">
      <c r="B70" s="134" t="s">
        <v>116</v>
      </c>
      <c r="C70" s="67">
        <v>950</v>
      </c>
      <c r="D70" s="140"/>
      <c r="E70" s="133"/>
    </row>
    <row r="71" spans="1:5" ht="15" customHeight="1" x14ac:dyDescent="0.35">
      <c r="B71" s="133" t="s">
        <v>244</v>
      </c>
      <c r="C71" s="67">
        <v>593</v>
      </c>
      <c r="D71" s="139"/>
      <c r="E71" s="133"/>
    </row>
    <row r="72" spans="1:5" ht="15" customHeight="1" x14ac:dyDescent="0.35">
      <c r="B72" s="133" t="s">
        <v>264</v>
      </c>
      <c r="C72" s="67">
        <v>554</v>
      </c>
      <c r="D72" s="139"/>
      <c r="E72" s="133"/>
    </row>
    <row r="73" spans="1:5" ht="15" customHeight="1" x14ac:dyDescent="0.35">
      <c r="B73" s="133" t="s">
        <v>235</v>
      </c>
      <c r="C73" s="67">
        <v>1009</v>
      </c>
      <c r="D73" s="139"/>
      <c r="E73" s="133"/>
    </row>
    <row r="74" spans="1:5" ht="15" customHeight="1" x14ac:dyDescent="0.35">
      <c r="B74" s="133" t="s">
        <v>258</v>
      </c>
      <c r="C74" s="67">
        <v>378</v>
      </c>
      <c r="D74" s="139"/>
      <c r="E74" s="133"/>
    </row>
    <row r="75" spans="1:5" ht="15" customHeight="1" x14ac:dyDescent="0.35">
      <c r="B75" s="133" t="s">
        <v>117</v>
      </c>
      <c r="C75" s="67">
        <v>435</v>
      </c>
      <c r="D75" s="139"/>
      <c r="E75" s="133"/>
    </row>
    <row r="76" spans="1:5" ht="15" customHeight="1" x14ac:dyDescent="0.35">
      <c r="B76" s="133" t="s">
        <v>107</v>
      </c>
      <c r="C76" s="67">
        <v>688</v>
      </c>
      <c r="D76" s="139"/>
      <c r="E76" s="133"/>
    </row>
    <row r="77" spans="1:5" ht="15" customHeight="1" x14ac:dyDescent="0.35">
      <c r="B77" s="133" t="s">
        <v>228</v>
      </c>
      <c r="C77" s="67">
        <v>290</v>
      </c>
      <c r="D77" s="139"/>
      <c r="E77" s="133"/>
    </row>
    <row r="78" spans="1:5" ht="15" customHeight="1" x14ac:dyDescent="0.35">
      <c r="A78" s="40"/>
      <c r="B78" s="133" t="s">
        <v>307</v>
      </c>
      <c r="C78" s="67">
        <v>680</v>
      </c>
      <c r="D78" s="139"/>
      <c r="E78" s="133"/>
    </row>
    <row r="79" spans="1:5" ht="15" customHeight="1" x14ac:dyDescent="0.35">
      <c r="B79" s="48" t="s">
        <v>317</v>
      </c>
      <c r="C79" s="67">
        <v>697</v>
      </c>
      <c r="D79" s="140"/>
      <c r="E79" s="133"/>
    </row>
    <row r="80" spans="1:5" ht="15" customHeight="1" x14ac:dyDescent="0.35">
      <c r="B80" s="133" t="s">
        <v>245</v>
      </c>
      <c r="C80" s="67">
        <v>290</v>
      </c>
      <c r="D80" s="139"/>
      <c r="E80" s="133"/>
    </row>
    <row r="81" spans="1:5" ht="15" customHeight="1" x14ac:dyDescent="0.35">
      <c r="B81" s="133" t="s">
        <v>118</v>
      </c>
      <c r="C81" s="67">
        <v>510</v>
      </c>
      <c r="D81" s="139"/>
      <c r="E81" s="133"/>
    </row>
    <row r="82" spans="1:5" ht="15" customHeight="1" x14ac:dyDescent="0.35">
      <c r="B82" s="134" t="s">
        <v>119</v>
      </c>
      <c r="C82" s="67">
        <v>373</v>
      </c>
      <c r="D82" s="140"/>
      <c r="E82" s="133"/>
    </row>
    <row r="83" spans="1:5" ht="15" customHeight="1" x14ac:dyDescent="0.35">
      <c r="B83" s="133" t="s">
        <v>120</v>
      </c>
      <c r="C83" s="67">
        <v>928</v>
      </c>
      <c r="D83" s="139"/>
      <c r="E83" s="133"/>
    </row>
    <row r="84" spans="1:5" ht="15" customHeight="1" x14ac:dyDescent="0.35">
      <c r="B84" s="134" t="s">
        <v>121</v>
      </c>
      <c r="C84" s="67">
        <v>290</v>
      </c>
      <c r="D84" s="140"/>
      <c r="E84" s="133"/>
    </row>
    <row r="85" spans="1:5" ht="15" customHeight="1" x14ac:dyDescent="0.35">
      <c r="B85" s="133" t="s">
        <v>122</v>
      </c>
      <c r="C85" s="67">
        <v>687</v>
      </c>
      <c r="D85" s="139"/>
      <c r="E85" s="133"/>
    </row>
    <row r="86" spans="1:5" ht="15" customHeight="1" x14ac:dyDescent="0.35">
      <c r="A86" s="40"/>
      <c r="B86" s="134" t="s">
        <v>246</v>
      </c>
      <c r="C86" s="67">
        <v>752</v>
      </c>
      <c r="D86" s="140"/>
      <c r="E86" s="133"/>
    </row>
    <row r="87" spans="1:5" ht="15" customHeight="1" x14ac:dyDescent="0.35">
      <c r="B87" s="134" t="s">
        <v>209</v>
      </c>
      <c r="C87" s="67">
        <v>290</v>
      </c>
      <c r="D87" s="140"/>
      <c r="E87" s="133"/>
    </row>
    <row r="88" spans="1:5" ht="15" customHeight="1" x14ac:dyDescent="0.35">
      <c r="B88" s="133" t="s">
        <v>308</v>
      </c>
      <c r="C88" s="67">
        <v>1147</v>
      </c>
      <c r="D88" s="139"/>
      <c r="E88" s="133"/>
    </row>
    <row r="89" spans="1:5" ht="15" customHeight="1" x14ac:dyDescent="0.35">
      <c r="B89" s="134" t="s">
        <v>256</v>
      </c>
      <c r="C89" s="67">
        <v>599</v>
      </c>
      <c r="D89" s="140"/>
      <c r="E89" s="134"/>
    </row>
    <row r="90" spans="1:5" ht="15" customHeight="1" x14ac:dyDescent="0.35">
      <c r="B90" s="133" t="s">
        <v>210</v>
      </c>
      <c r="C90" s="67">
        <v>977</v>
      </c>
      <c r="D90" s="139"/>
      <c r="E90" s="133"/>
    </row>
    <row r="91" spans="1:5" ht="15" customHeight="1" x14ac:dyDescent="0.35">
      <c r="B91" s="133" t="s">
        <v>316</v>
      </c>
      <c r="C91" s="67">
        <v>688</v>
      </c>
      <c r="D91" s="139"/>
      <c r="E91" s="133"/>
    </row>
    <row r="92" spans="1:5" ht="15" customHeight="1" x14ac:dyDescent="0.35">
      <c r="B92" s="133" t="s">
        <v>273</v>
      </c>
      <c r="C92" s="67">
        <v>290</v>
      </c>
      <c r="D92" s="139"/>
      <c r="E92" s="133"/>
    </row>
    <row r="93" spans="1:5" ht="15" customHeight="1" x14ac:dyDescent="0.35">
      <c r="B93" s="133" t="s">
        <v>274</v>
      </c>
      <c r="C93" s="67">
        <v>403</v>
      </c>
      <c r="D93" s="139"/>
      <c r="E93" s="133"/>
    </row>
    <row r="94" spans="1:5" ht="15" customHeight="1" x14ac:dyDescent="0.35">
      <c r="B94" s="133" t="s">
        <v>123</v>
      </c>
      <c r="C94" s="67">
        <v>319</v>
      </c>
      <c r="D94" s="139"/>
      <c r="E94" s="133"/>
    </row>
    <row r="95" spans="1:5" ht="15" customHeight="1" x14ac:dyDescent="0.35">
      <c r="B95" s="133" t="s">
        <v>236</v>
      </c>
      <c r="C95" s="67">
        <v>477</v>
      </c>
      <c r="D95" s="139"/>
      <c r="E95" s="133"/>
    </row>
    <row r="96" spans="1:5" ht="15" customHeight="1" x14ac:dyDescent="0.35">
      <c r="B96" s="133" t="s">
        <v>211</v>
      </c>
      <c r="C96" s="67">
        <v>511</v>
      </c>
      <c r="D96" s="139"/>
      <c r="E96" s="133"/>
    </row>
    <row r="97" spans="1:5" ht="15" customHeight="1" x14ac:dyDescent="0.35">
      <c r="B97" s="133" t="s">
        <v>124</v>
      </c>
      <c r="C97" s="67">
        <v>655</v>
      </c>
      <c r="D97" s="139"/>
      <c r="E97" s="133"/>
    </row>
    <row r="98" spans="1:5" ht="15" customHeight="1" x14ac:dyDescent="0.35">
      <c r="B98" s="134" t="s">
        <v>125</v>
      </c>
      <c r="C98" s="67">
        <v>470</v>
      </c>
      <c r="D98" s="140"/>
      <c r="E98" s="133"/>
    </row>
    <row r="99" spans="1:5" ht="15" customHeight="1" x14ac:dyDescent="0.35">
      <c r="B99" s="133" t="s">
        <v>229</v>
      </c>
      <c r="C99" s="67">
        <v>404</v>
      </c>
      <c r="D99" s="139"/>
      <c r="E99" s="133"/>
    </row>
    <row r="100" spans="1:5" ht="15" customHeight="1" x14ac:dyDescent="0.35">
      <c r="B100" s="133" t="s">
        <v>275</v>
      </c>
      <c r="C100" s="67">
        <v>432</v>
      </c>
      <c r="D100" s="139"/>
      <c r="E100" s="133"/>
    </row>
    <row r="101" spans="1:5" ht="15" customHeight="1" x14ac:dyDescent="0.35">
      <c r="B101" s="134" t="s">
        <v>212</v>
      </c>
      <c r="C101" s="67">
        <v>668</v>
      </c>
      <c r="D101" s="140"/>
      <c r="E101" s="133"/>
    </row>
    <row r="102" spans="1:5" ht="15" customHeight="1" x14ac:dyDescent="0.35">
      <c r="B102" s="133" t="s">
        <v>276</v>
      </c>
      <c r="C102" s="67">
        <v>619</v>
      </c>
      <c r="D102" s="139"/>
      <c r="E102" s="133"/>
    </row>
    <row r="103" spans="1:5" ht="15" customHeight="1" x14ac:dyDescent="0.35">
      <c r="B103" s="134" t="s">
        <v>283</v>
      </c>
      <c r="C103" s="67">
        <v>438</v>
      </c>
      <c r="D103" s="140"/>
      <c r="E103" s="133"/>
    </row>
    <row r="104" spans="1:5" ht="15" customHeight="1" x14ac:dyDescent="0.35">
      <c r="A104" s="40"/>
      <c r="B104" s="133" t="s">
        <v>126</v>
      </c>
      <c r="C104" s="67">
        <v>389</v>
      </c>
      <c r="D104" s="139"/>
      <c r="E104" s="134"/>
    </row>
    <row r="105" spans="1:5" ht="15" customHeight="1" x14ac:dyDescent="0.35">
      <c r="B105" s="133" t="s">
        <v>127</v>
      </c>
      <c r="C105" s="67">
        <v>1009</v>
      </c>
      <c r="D105" s="139"/>
      <c r="E105" s="133"/>
    </row>
    <row r="106" spans="1:5" ht="15" customHeight="1" x14ac:dyDescent="0.35">
      <c r="B106" s="133" t="s">
        <v>247</v>
      </c>
      <c r="C106" s="67">
        <v>504</v>
      </c>
      <c r="D106" s="139"/>
      <c r="E106" s="133"/>
    </row>
    <row r="107" spans="1:5" ht="15" customHeight="1" x14ac:dyDescent="0.35">
      <c r="B107" s="133" t="s">
        <v>257</v>
      </c>
      <c r="C107" s="67">
        <v>416</v>
      </c>
      <c r="D107" s="139"/>
      <c r="E107" s="133"/>
    </row>
    <row r="108" spans="1:5" ht="15" customHeight="1" x14ac:dyDescent="0.35">
      <c r="B108" s="133" t="s">
        <v>277</v>
      </c>
      <c r="C108" s="67">
        <v>290</v>
      </c>
      <c r="D108" s="139"/>
      <c r="E108" s="133"/>
    </row>
    <row r="109" spans="1:5" ht="15" customHeight="1" x14ac:dyDescent="0.35">
      <c r="B109" s="134" t="s">
        <v>128</v>
      </c>
      <c r="C109" s="67">
        <v>792</v>
      </c>
      <c r="D109" s="140"/>
      <c r="E109" s="133"/>
    </row>
    <row r="110" spans="1:5" ht="15" customHeight="1" x14ac:dyDescent="0.35">
      <c r="B110" s="134" t="s">
        <v>265</v>
      </c>
      <c r="C110" s="67">
        <v>786</v>
      </c>
      <c r="D110" s="140"/>
      <c r="E110" s="133"/>
    </row>
    <row r="111" spans="1:5" ht="15" customHeight="1" x14ac:dyDescent="0.35">
      <c r="B111" s="133" t="s">
        <v>129</v>
      </c>
      <c r="C111" s="67">
        <v>312</v>
      </c>
      <c r="D111" s="139"/>
      <c r="E111" s="133"/>
    </row>
    <row r="112" spans="1:5" ht="15" customHeight="1" x14ac:dyDescent="0.35">
      <c r="B112" s="134" t="s">
        <v>248</v>
      </c>
      <c r="C112" s="67">
        <v>542</v>
      </c>
      <c r="D112" s="140"/>
      <c r="E112" s="133"/>
    </row>
    <row r="113" spans="1:5" ht="15" customHeight="1" x14ac:dyDescent="0.35">
      <c r="B113" s="134" t="s">
        <v>249</v>
      </c>
      <c r="C113" s="67">
        <v>387</v>
      </c>
      <c r="D113" s="140"/>
      <c r="E113" s="133"/>
    </row>
    <row r="114" spans="1:5" ht="15" customHeight="1" x14ac:dyDescent="0.35">
      <c r="A114" s="40"/>
      <c r="B114" s="133" t="s">
        <v>130</v>
      </c>
      <c r="C114" s="67">
        <v>435</v>
      </c>
      <c r="D114" s="139"/>
      <c r="E114" s="133"/>
    </row>
    <row r="115" spans="1:5" ht="15" customHeight="1" x14ac:dyDescent="0.35">
      <c r="A115" s="40"/>
      <c r="B115" s="133" t="s">
        <v>322</v>
      </c>
      <c r="C115" s="67">
        <v>320</v>
      </c>
      <c r="D115" s="139"/>
      <c r="E115" s="133"/>
    </row>
    <row r="116" spans="1:5" ht="15" customHeight="1" x14ac:dyDescent="0.35">
      <c r="B116" s="134" t="s">
        <v>131</v>
      </c>
      <c r="C116" s="67">
        <v>1104</v>
      </c>
      <c r="D116" s="140"/>
      <c r="E116" s="134"/>
    </row>
    <row r="117" spans="1:5" ht="15" customHeight="1" x14ac:dyDescent="0.35">
      <c r="B117" s="133" t="s">
        <v>284</v>
      </c>
      <c r="C117" s="67">
        <v>656</v>
      </c>
      <c r="D117" s="139"/>
      <c r="E117" s="134"/>
    </row>
    <row r="118" spans="1:5" ht="15" customHeight="1" x14ac:dyDescent="0.35">
      <c r="B118" s="133" t="s">
        <v>266</v>
      </c>
      <c r="C118" s="67">
        <v>977</v>
      </c>
      <c r="D118" s="139"/>
      <c r="E118" s="133"/>
    </row>
    <row r="119" spans="1:5" ht="15" customHeight="1" x14ac:dyDescent="0.35">
      <c r="B119" s="133" t="s">
        <v>132</v>
      </c>
      <c r="C119" s="67">
        <v>290</v>
      </c>
      <c r="D119" s="139"/>
      <c r="E119" s="133"/>
    </row>
    <row r="120" spans="1:5" ht="15" customHeight="1" x14ac:dyDescent="0.35">
      <c r="B120" s="134" t="s">
        <v>133</v>
      </c>
      <c r="C120" s="67">
        <v>779</v>
      </c>
      <c r="D120" s="140"/>
      <c r="E120" s="133"/>
    </row>
    <row r="121" spans="1:5" ht="15" customHeight="1" x14ac:dyDescent="0.35">
      <c r="B121" s="133" t="s">
        <v>278</v>
      </c>
      <c r="C121" s="67">
        <v>662</v>
      </c>
      <c r="D121" s="139"/>
      <c r="E121" s="133"/>
    </row>
    <row r="122" spans="1:5" ht="15" customHeight="1" x14ac:dyDescent="0.35">
      <c r="B122" s="134" t="s">
        <v>134</v>
      </c>
      <c r="C122" s="67">
        <v>352</v>
      </c>
      <c r="D122" s="140"/>
      <c r="E122" s="133"/>
    </row>
    <row r="123" spans="1:5" ht="15" customHeight="1" x14ac:dyDescent="0.35">
      <c r="B123" s="134" t="s">
        <v>267</v>
      </c>
      <c r="C123" s="67">
        <v>504</v>
      </c>
      <c r="D123" s="140"/>
      <c r="E123" s="133"/>
    </row>
    <row r="124" spans="1:5" ht="15" customHeight="1" x14ac:dyDescent="0.35">
      <c r="A124" s="40"/>
      <c r="B124" s="133" t="s">
        <v>135</v>
      </c>
      <c r="C124" s="67">
        <v>562</v>
      </c>
      <c r="D124" s="139"/>
      <c r="E124" s="133"/>
    </row>
    <row r="125" spans="1:5" ht="15" customHeight="1" x14ac:dyDescent="0.35">
      <c r="B125" s="134" t="s">
        <v>213</v>
      </c>
      <c r="C125" s="67">
        <v>613</v>
      </c>
      <c r="D125" s="140"/>
      <c r="E125" s="134"/>
    </row>
    <row r="126" spans="1:5" ht="15" customHeight="1" x14ac:dyDescent="0.35">
      <c r="B126" s="134" t="s">
        <v>309</v>
      </c>
      <c r="C126" s="67">
        <v>1168</v>
      </c>
      <c r="D126" s="140"/>
      <c r="E126" s="134"/>
    </row>
    <row r="127" spans="1:5" ht="15" customHeight="1" x14ac:dyDescent="0.35">
      <c r="B127" s="133" t="s">
        <v>237</v>
      </c>
      <c r="C127" s="67">
        <v>967</v>
      </c>
      <c r="D127" s="139"/>
      <c r="E127" s="133"/>
    </row>
    <row r="128" spans="1:5" ht="15" customHeight="1" x14ac:dyDescent="0.35">
      <c r="B128" s="133" t="s">
        <v>136</v>
      </c>
      <c r="C128" s="67">
        <v>424</v>
      </c>
      <c r="D128" s="139"/>
      <c r="E128" s="133"/>
    </row>
    <row r="129" spans="2:5" ht="15" customHeight="1" x14ac:dyDescent="0.35">
      <c r="B129" s="133" t="s">
        <v>214</v>
      </c>
      <c r="C129" s="67">
        <v>290</v>
      </c>
      <c r="D129" s="139"/>
      <c r="E129" s="133"/>
    </row>
    <row r="130" spans="2:5" ht="15" customHeight="1" x14ac:dyDescent="0.35">
      <c r="B130" s="133" t="s">
        <v>137</v>
      </c>
      <c r="C130" s="67">
        <v>544</v>
      </c>
      <c r="D130" s="139"/>
      <c r="E130" s="133"/>
    </row>
    <row r="131" spans="2:5" ht="15" customHeight="1" x14ac:dyDescent="0.35">
      <c r="B131" s="133" t="s">
        <v>250</v>
      </c>
      <c r="C131" s="67">
        <v>789</v>
      </c>
      <c r="D131" s="139"/>
      <c r="E131" s="134"/>
    </row>
    <row r="132" spans="2:5" ht="15" customHeight="1" x14ac:dyDescent="0.35">
      <c r="B132" s="133" t="s">
        <v>259</v>
      </c>
      <c r="C132" s="67">
        <v>564</v>
      </c>
      <c r="D132" s="139"/>
      <c r="E132" s="133"/>
    </row>
    <row r="133" spans="2:5" ht="15" customHeight="1" x14ac:dyDescent="0.35">
      <c r="B133" s="133" t="s">
        <v>279</v>
      </c>
      <c r="C133" s="67">
        <v>649</v>
      </c>
      <c r="D133" s="139"/>
      <c r="E133" s="133"/>
    </row>
    <row r="134" spans="2:5" ht="15" customHeight="1" x14ac:dyDescent="0.35">
      <c r="B134" s="133" t="s">
        <v>310</v>
      </c>
      <c r="C134" s="67">
        <v>856</v>
      </c>
      <c r="D134" s="139"/>
      <c r="E134" s="133"/>
    </row>
    <row r="135" spans="2:5" ht="15" customHeight="1" x14ac:dyDescent="0.35">
      <c r="B135" s="133" t="s">
        <v>138</v>
      </c>
      <c r="C135" s="67">
        <v>1220</v>
      </c>
      <c r="D135" s="139"/>
      <c r="E135" s="133"/>
    </row>
    <row r="136" spans="2:5" ht="15" customHeight="1" x14ac:dyDescent="0.35">
      <c r="B136" s="133" t="s">
        <v>139</v>
      </c>
      <c r="C136" s="67">
        <v>1365</v>
      </c>
      <c r="D136" s="139"/>
      <c r="E136" s="133"/>
    </row>
    <row r="137" spans="2:5" ht="15" customHeight="1" x14ac:dyDescent="0.35">
      <c r="B137" s="133" t="s">
        <v>140</v>
      </c>
      <c r="C137" s="67">
        <v>652</v>
      </c>
      <c r="D137" s="139"/>
      <c r="E137" s="133"/>
    </row>
    <row r="138" spans="2:5" ht="15" customHeight="1" x14ac:dyDescent="0.35">
      <c r="B138" s="133" t="s">
        <v>285</v>
      </c>
      <c r="C138" s="67">
        <v>453</v>
      </c>
      <c r="D138" s="139"/>
      <c r="E138" s="133"/>
    </row>
    <row r="139" spans="2:5" ht="15" customHeight="1" x14ac:dyDescent="0.35">
      <c r="B139" s="134" t="s">
        <v>268</v>
      </c>
      <c r="C139" s="67">
        <v>1092</v>
      </c>
      <c r="D139" s="140"/>
      <c r="E139" s="133"/>
    </row>
    <row r="140" spans="2:5" ht="15" customHeight="1" x14ac:dyDescent="0.35">
      <c r="B140" s="133" t="s">
        <v>240</v>
      </c>
      <c r="C140" s="67">
        <v>290</v>
      </c>
      <c r="D140" s="139"/>
      <c r="E140" s="133"/>
    </row>
    <row r="141" spans="2:5" ht="15" customHeight="1" x14ac:dyDescent="0.35">
      <c r="B141" s="133" t="s">
        <v>141</v>
      </c>
      <c r="C141" s="67">
        <v>959</v>
      </c>
      <c r="D141" s="139"/>
      <c r="E141" s="133"/>
    </row>
    <row r="142" spans="2:5" ht="15" customHeight="1" x14ac:dyDescent="0.35">
      <c r="B142" s="134" t="s">
        <v>142</v>
      </c>
      <c r="C142" s="67">
        <v>691</v>
      </c>
      <c r="D142" s="140"/>
      <c r="E142" s="133"/>
    </row>
    <row r="143" spans="2:5" ht="15" customHeight="1" x14ac:dyDescent="0.35">
      <c r="B143" s="133" t="s">
        <v>143</v>
      </c>
      <c r="C143" s="67">
        <v>592</v>
      </c>
      <c r="D143" s="139"/>
      <c r="E143" s="133"/>
    </row>
    <row r="144" spans="2:5" ht="15" customHeight="1" x14ac:dyDescent="0.35">
      <c r="B144" s="134" t="s">
        <v>215</v>
      </c>
      <c r="C144" s="67">
        <v>691</v>
      </c>
      <c r="D144" s="140"/>
      <c r="E144" s="133"/>
    </row>
    <row r="145" spans="1:5" ht="15" customHeight="1" x14ac:dyDescent="0.35">
      <c r="B145" s="133" t="s">
        <v>144</v>
      </c>
      <c r="C145" s="67">
        <v>471</v>
      </c>
      <c r="D145" s="139"/>
      <c r="E145" s="134"/>
    </row>
    <row r="146" spans="1:5" ht="15" customHeight="1" x14ac:dyDescent="0.35">
      <c r="B146" s="133" t="s">
        <v>216</v>
      </c>
      <c r="C146" s="67">
        <v>914</v>
      </c>
      <c r="D146" s="139"/>
      <c r="E146" s="133"/>
    </row>
    <row r="147" spans="1:5" ht="15" customHeight="1" x14ac:dyDescent="0.35">
      <c r="B147" s="133" t="s">
        <v>269</v>
      </c>
      <c r="C147" s="67">
        <v>701</v>
      </c>
      <c r="D147" s="139"/>
      <c r="E147" s="133"/>
    </row>
    <row r="148" spans="1:5" ht="15" customHeight="1" x14ac:dyDescent="0.35">
      <c r="B148" s="133" t="s">
        <v>145</v>
      </c>
      <c r="C148" s="67">
        <v>290</v>
      </c>
      <c r="D148" s="139"/>
      <c r="E148" s="133"/>
    </row>
    <row r="149" spans="1:5" ht="15" customHeight="1" x14ac:dyDescent="0.35">
      <c r="B149" s="133" t="s">
        <v>146</v>
      </c>
      <c r="C149" s="67">
        <v>318</v>
      </c>
      <c r="D149" s="139"/>
      <c r="E149" s="133"/>
    </row>
    <row r="150" spans="1:5" ht="15" customHeight="1" x14ac:dyDescent="0.35">
      <c r="B150" s="133" t="s">
        <v>147</v>
      </c>
      <c r="C150" s="67">
        <v>681</v>
      </c>
      <c r="D150" s="139"/>
      <c r="E150" s="133"/>
    </row>
    <row r="151" spans="1:5" ht="15" customHeight="1" x14ac:dyDescent="0.35">
      <c r="B151" s="133" t="s">
        <v>270</v>
      </c>
      <c r="C151" s="67">
        <v>615</v>
      </c>
      <c r="D151" s="139"/>
      <c r="E151" s="133"/>
    </row>
    <row r="152" spans="1:5" ht="15" customHeight="1" x14ac:dyDescent="0.35">
      <c r="B152" s="133" t="s">
        <v>148</v>
      </c>
      <c r="C152" s="67">
        <v>413</v>
      </c>
      <c r="D152" s="139"/>
      <c r="E152" s="133"/>
    </row>
    <row r="153" spans="1:5" ht="15" customHeight="1" x14ac:dyDescent="0.35">
      <c r="B153" s="133" t="s">
        <v>149</v>
      </c>
      <c r="C153" s="67">
        <v>563</v>
      </c>
      <c r="D153" s="139"/>
      <c r="E153" s="133"/>
    </row>
    <row r="154" spans="1:5" ht="15" customHeight="1" x14ac:dyDescent="0.35">
      <c r="B154" s="133" t="s">
        <v>150</v>
      </c>
      <c r="C154" s="67">
        <v>735</v>
      </c>
      <c r="D154" s="139"/>
      <c r="E154" s="133"/>
    </row>
    <row r="155" spans="1:5" ht="15" customHeight="1" x14ac:dyDescent="0.35">
      <c r="B155" s="133" t="s">
        <v>251</v>
      </c>
      <c r="C155" s="67">
        <v>567</v>
      </c>
      <c r="D155" s="139"/>
      <c r="E155" s="133"/>
    </row>
    <row r="156" spans="1:5" ht="15" customHeight="1" x14ac:dyDescent="0.35">
      <c r="B156" s="133" t="s">
        <v>280</v>
      </c>
      <c r="C156" s="67">
        <v>519</v>
      </c>
      <c r="D156" s="139"/>
      <c r="E156" s="133"/>
    </row>
    <row r="157" spans="1:5" ht="15" customHeight="1" x14ac:dyDescent="0.35">
      <c r="B157" s="133" t="s">
        <v>151</v>
      </c>
      <c r="C157" s="67">
        <v>960</v>
      </c>
      <c r="D157" s="139"/>
      <c r="E157" s="133"/>
    </row>
    <row r="158" spans="1:5" ht="15" customHeight="1" x14ac:dyDescent="0.35">
      <c r="B158" s="133" t="s">
        <v>152</v>
      </c>
      <c r="C158" s="67">
        <v>290</v>
      </c>
      <c r="D158" s="139"/>
      <c r="E158" s="133"/>
    </row>
    <row r="159" spans="1:5" ht="15" customHeight="1" x14ac:dyDescent="0.35">
      <c r="A159" s="40"/>
      <c r="B159" s="134" t="s">
        <v>217</v>
      </c>
      <c r="C159" s="67">
        <v>290</v>
      </c>
      <c r="D159" s="140"/>
      <c r="E159" s="133"/>
    </row>
    <row r="160" spans="1:5" ht="15" customHeight="1" x14ac:dyDescent="0.35">
      <c r="B160" s="133" t="s">
        <v>281</v>
      </c>
      <c r="C160" s="67">
        <v>1649</v>
      </c>
      <c r="D160" s="139"/>
      <c r="E160" s="133"/>
    </row>
    <row r="161" spans="1:5" ht="15" customHeight="1" x14ac:dyDescent="0.35">
      <c r="B161" s="133" t="s">
        <v>153</v>
      </c>
      <c r="C161" s="67">
        <v>800</v>
      </c>
      <c r="D161" s="139"/>
      <c r="E161" s="133"/>
    </row>
    <row r="162" spans="1:5" ht="15" customHeight="1" x14ac:dyDescent="0.35">
      <c r="B162" s="134" t="s">
        <v>155</v>
      </c>
      <c r="C162" s="67">
        <v>422</v>
      </c>
      <c r="D162" s="140"/>
      <c r="E162" s="133"/>
    </row>
    <row r="163" spans="1:5" ht="15" customHeight="1" x14ac:dyDescent="0.35">
      <c r="B163" s="134" t="s">
        <v>156</v>
      </c>
      <c r="C163" s="67">
        <v>393</v>
      </c>
      <c r="D163" s="140"/>
      <c r="E163" s="133"/>
    </row>
    <row r="164" spans="1:5" ht="15" customHeight="1" x14ac:dyDescent="0.35">
      <c r="B164" s="133" t="s">
        <v>157</v>
      </c>
      <c r="C164" s="67">
        <v>666</v>
      </c>
      <c r="D164" s="139"/>
      <c r="E164" s="133"/>
    </row>
    <row r="165" spans="1:5" ht="15" customHeight="1" x14ac:dyDescent="0.35">
      <c r="B165" s="134" t="s">
        <v>158</v>
      </c>
      <c r="C165" s="67">
        <v>624</v>
      </c>
      <c r="D165" s="140"/>
      <c r="E165" s="133"/>
    </row>
    <row r="166" spans="1:5" ht="15" customHeight="1" x14ac:dyDescent="0.35">
      <c r="B166" s="134" t="s">
        <v>154</v>
      </c>
      <c r="C166" s="67">
        <v>1168</v>
      </c>
      <c r="D166" s="140"/>
      <c r="E166" s="133"/>
    </row>
    <row r="167" spans="1:5" ht="15" customHeight="1" x14ac:dyDescent="0.35">
      <c r="B167" s="133" t="s">
        <v>159</v>
      </c>
      <c r="C167" s="67">
        <v>290</v>
      </c>
      <c r="D167" s="139"/>
      <c r="E167" s="133"/>
    </row>
    <row r="168" spans="1:5" ht="15" customHeight="1" x14ac:dyDescent="0.35">
      <c r="B168" s="133" t="s">
        <v>282</v>
      </c>
      <c r="C168" s="67">
        <v>743</v>
      </c>
      <c r="D168" s="139"/>
      <c r="E168" s="133"/>
    </row>
    <row r="169" spans="1:5" ht="15" customHeight="1" x14ac:dyDescent="0.35">
      <c r="B169" s="133" t="s">
        <v>313</v>
      </c>
      <c r="C169" s="67">
        <v>420</v>
      </c>
      <c r="D169" s="139"/>
      <c r="E169" s="133"/>
    </row>
    <row r="170" spans="1:5" ht="15" customHeight="1" x14ac:dyDescent="0.35">
      <c r="A170" s="40"/>
      <c r="B170" s="133" t="s">
        <v>160</v>
      </c>
      <c r="C170" s="67">
        <v>433</v>
      </c>
      <c r="D170" s="139"/>
      <c r="E170" s="133"/>
    </row>
    <row r="171" spans="1:5" ht="15" customHeight="1" x14ac:dyDescent="0.35">
      <c r="B171" s="133" t="s">
        <v>161</v>
      </c>
      <c r="C171" s="67">
        <v>425</v>
      </c>
      <c r="D171" s="139"/>
      <c r="E171" s="133"/>
    </row>
    <row r="172" spans="1:5" ht="15" customHeight="1" x14ac:dyDescent="0.35">
      <c r="B172" s="133" t="s">
        <v>252</v>
      </c>
      <c r="C172" s="67">
        <v>660</v>
      </c>
      <c r="D172" s="139"/>
      <c r="E172" s="133"/>
    </row>
    <row r="173" spans="1:5" ht="15" customHeight="1" x14ac:dyDescent="0.35">
      <c r="B173" s="133" t="s">
        <v>162</v>
      </c>
      <c r="C173" s="67">
        <v>746</v>
      </c>
      <c r="D173" s="139"/>
      <c r="E173" s="133"/>
    </row>
    <row r="174" spans="1:5" ht="15" customHeight="1" x14ac:dyDescent="0.35">
      <c r="B174" s="133" t="s">
        <v>163</v>
      </c>
      <c r="C174" s="67">
        <v>493</v>
      </c>
      <c r="E174" s="47"/>
    </row>
    <row r="175" spans="1:5" ht="15" customHeight="1" x14ac:dyDescent="0.35">
      <c r="A175" s="51"/>
      <c r="E175" s="47"/>
    </row>
    <row r="176" spans="1:5" ht="15" customHeight="1" x14ac:dyDescent="0.3">
      <c r="E176" s="47"/>
    </row>
    <row r="177" spans="1:5" ht="15" customHeight="1" x14ac:dyDescent="0.3">
      <c r="E177" s="47"/>
    </row>
    <row r="178" spans="1:5" ht="15" customHeight="1" x14ac:dyDescent="0.35">
      <c r="A178" s="40"/>
      <c r="E178" s="47"/>
    </row>
    <row r="179" spans="1:5" ht="15" customHeight="1" x14ac:dyDescent="0.3">
      <c r="E179" s="47"/>
    </row>
    <row r="180" spans="1:5" ht="15" customHeight="1" x14ac:dyDescent="0.35">
      <c r="A180" s="40"/>
      <c r="E180" s="47"/>
    </row>
    <row r="181" spans="1:5" ht="15" customHeight="1" x14ac:dyDescent="0.3">
      <c r="E181" s="47"/>
    </row>
    <row r="182" spans="1:5" ht="14" x14ac:dyDescent="0.35">
      <c r="A182" s="51"/>
      <c r="E182" s="47"/>
    </row>
    <row r="183" spans="1:5" x14ac:dyDescent="0.3">
      <c r="E183" s="47"/>
    </row>
    <row r="184" spans="1:5" x14ac:dyDescent="0.3">
      <c r="E184" s="47"/>
    </row>
    <row r="185" spans="1:5" ht="14" x14ac:dyDescent="0.35">
      <c r="A185" s="51"/>
      <c r="E185" s="47"/>
    </row>
    <row r="186" spans="1:5" x14ac:dyDescent="0.3">
      <c r="E186" s="47"/>
    </row>
    <row r="187" spans="1:5" x14ac:dyDescent="0.3">
      <c r="E187" s="47"/>
    </row>
    <row r="188" spans="1:5" x14ac:dyDescent="0.3">
      <c r="E188" s="47"/>
    </row>
    <row r="189" spans="1:5" x14ac:dyDescent="0.3">
      <c r="E189" s="47"/>
    </row>
  </sheetData>
  <dataConsolidate/>
  <phoneticPr fontId="0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A92"/>
  <sheetViews>
    <sheetView workbookViewId="0">
      <selection activeCell="I3" sqref="I3"/>
    </sheetView>
  </sheetViews>
  <sheetFormatPr defaultColWidth="22.36328125" defaultRowHeight="12.5" x14ac:dyDescent="0.25"/>
  <sheetData>
    <row r="1" spans="2:27" x14ac:dyDescent="0.25">
      <c r="AA1" t="s">
        <v>65</v>
      </c>
    </row>
    <row r="2" spans="2:27" x14ac:dyDescent="0.25">
      <c r="AA2" t="s">
        <v>67</v>
      </c>
    </row>
    <row r="3" spans="2:27" ht="13" x14ac:dyDescent="0.3">
      <c r="B3" t="s">
        <v>7</v>
      </c>
      <c r="D3" t="s">
        <v>8</v>
      </c>
      <c r="K3" s="10" t="s">
        <v>77</v>
      </c>
      <c r="AA3" t="s">
        <v>68</v>
      </c>
    </row>
    <row r="4" spans="2:27" x14ac:dyDescent="0.25">
      <c r="B4">
        <f>Reseräkning!F18-Reseräkning!D10</f>
        <v>0</v>
      </c>
      <c r="D4" s="1">
        <f>(Reseräkning!G10-Reseräkning!E10)*24</f>
        <v>0</v>
      </c>
      <c r="K4">
        <f>Reseräkning!D5</f>
        <v>0</v>
      </c>
      <c r="AA4" t="s">
        <v>66</v>
      </c>
    </row>
    <row r="5" spans="2:27" ht="13" x14ac:dyDescent="0.3">
      <c r="B5" s="2" t="s">
        <v>182</v>
      </c>
      <c r="K5" s="10" t="s">
        <v>10</v>
      </c>
      <c r="M5" s="3"/>
    </row>
    <row r="6" spans="2:27" x14ac:dyDescent="0.25">
      <c r="B6" t="s">
        <v>40</v>
      </c>
      <c r="E6" t="s">
        <v>52</v>
      </c>
      <c r="F6" t="s">
        <v>51</v>
      </c>
      <c r="H6" t="s">
        <v>43</v>
      </c>
      <c r="K6" t="str">
        <f>Reseräkning!G5</f>
        <v/>
      </c>
      <c r="M6" s="3" t="s">
        <v>60</v>
      </c>
      <c r="AA6" t="s">
        <v>230</v>
      </c>
    </row>
    <row r="7" spans="2:27" x14ac:dyDescent="0.25">
      <c r="D7">
        <f>Reseräkning!G10-Reseräkning!E10</f>
        <v>0</v>
      </c>
      <c r="E7">
        <v>0</v>
      </c>
      <c r="F7" t="str">
        <f>IF($D7&gt;0.166667,(IF($D$7&gt;0.416667,'Skatteregler mm'!F24,'Skatteregler mm'!F23))," ")</f>
        <v xml:space="preserve"> </v>
      </c>
      <c r="H7" t="s">
        <v>44</v>
      </c>
      <c r="I7">
        <f>IF(B4&lt;0," ",E7)</f>
        <v>0</v>
      </c>
      <c r="J7" t="str">
        <f>IF(B4&lt;0," ",F7)</f>
        <v xml:space="preserve"> </v>
      </c>
      <c r="K7" s="4">
        <f ca="1">IF(O31=2,K6*O35,0)</f>
        <v>0</v>
      </c>
      <c r="M7" s="3"/>
      <c r="N7" t="s">
        <v>50</v>
      </c>
      <c r="O7" t="s">
        <v>11</v>
      </c>
      <c r="P7" s="20" t="s">
        <v>61</v>
      </c>
    </row>
    <row r="8" spans="2:27" x14ac:dyDescent="0.25">
      <c r="G8" s="20"/>
      <c r="H8" t="s">
        <v>45</v>
      </c>
      <c r="I8">
        <f>IF(B4&lt;0," ",E11)</f>
        <v>290</v>
      </c>
      <c r="J8">
        <f>IF(B4&lt;0," ",F10)</f>
        <v>0</v>
      </c>
      <c r="K8" s="4">
        <f ca="1">IF(O37=2,K6*O41,0)</f>
        <v>0</v>
      </c>
      <c r="L8">
        <v>0</v>
      </c>
      <c r="M8" s="3" t="s">
        <v>2</v>
      </c>
      <c r="N8">
        <f>SUM(Reseräkning!D26:D29)</f>
        <v>0</v>
      </c>
      <c r="O8" t="e">
        <f>SUM(Reseräkning!#REF!)</f>
        <v>#REF!</v>
      </c>
      <c r="P8" s="18">
        <f>SUM(Reseräkning!E26:E29)</f>
        <v>0</v>
      </c>
    </row>
    <row r="9" spans="2:27" ht="13" x14ac:dyDescent="0.3">
      <c r="B9" s="10" t="s">
        <v>167</v>
      </c>
      <c r="G9" s="20"/>
      <c r="I9" t="str">
        <f>IF(B4&lt;0," ",E12)</f>
        <v xml:space="preserve"> </v>
      </c>
      <c r="J9">
        <f>IF(B4&lt;0," ",F12)</f>
        <v>0</v>
      </c>
      <c r="K9" s="4">
        <f ca="1">IF(O43=2,K6*O47,0)</f>
        <v>0</v>
      </c>
      <c r="L9">
        <v>0</v>
      </c>
      <c r="M9" s="3" t="s">
        <v>3</v>
      </c>
      <c r="N9">
        <f ca="1">SUM(Reseräkning!D32:D35)</f>
        <v>0</v>
      </c>
      <c r="O9" t="e">
        <f>SUM(Reseräkning!#REF!)</f>
        <v>#REF!</v>
      </c>
      <c r="P9" s="18">
        <f>SUM(Reseräkning!E33:E35)</f>
        <v>0</v>
      </c>
      <c r="AA9" s="20" t="s">
        <v>301</v>
      </c>
    </row>
    <row r="10" spans="2:27" x14ac:dyDescent="0.25">
      <c r="B10" t="s">
        <v>12</v>
      </c>
      <c r="D10" s="1">
        <f>Reseräkning!$E$10</f>
        <v>0</v>
      </c>
      <c r="E10">
        <f>IF($D$10&lt;0.5,'Skatteregler mm'!D11,'Skatteregler mm'!D12)</f>
        <v>290</v>
      </c>
      <c r="F10">
        <f>IF($D$10&lt;0.5,'Skatteregler mm'!F11,'Skatteregler mm'!F12)</f>
        <v>0</v>
      </c>
      <c r="H10" t="s">
        <v>46</v>
      </c>
      <c r="I10">
        <f>IF(B4&lt;0," ",E10)</f>
        <v>290</v>
      </c>
      <c r="J10">
        <f>IF(B4&lt;0," ",F10)</f>
        <v>0</v>
      </c>
      <c r="K10" s="4">
        <f ca="1">IF(O49=2,K6*O53,0)</f>
        <v>0</v>
      </c>
      <c r="L10">
        <v>0</v>
      </c>
      <c r="M10" s="3" t="s">
        <v>4</v>
      </c>
      <c r="N10">
        <f ca="1">SUM(Reseräkning!D38:D41)</f>
        <v>0</v>
      </c>
      <c r="O10" t="e">
        <f>SUM(Reseräkning!#REF!)</f>
        <v>#REF!</v>
      </c>
      <c r="P10" s="18">
        <f>SUM(Reseräkning!E39:E41)</f>
        <v>0</v>
      </c>
    </row>
    <row r="11" spans="2:27" x14ac:dyDescent="0.25">
      <c r="B11" s="20" t="s">
        <v>294</v>
      </c>
      <c r="E11">
        <f>'Skatteregler mm'!D8</f>
        <v>290</v>
      </c>
      <c r="F11">
        <f>'Skatteregler mm'!F8</f>
        <v>0</v>
      </c>
      <c r="I11">
        <f>IF(B4&lt;0," ",E11)</f>
        <v>290</v>
      </c>
      <c r="J11">
        <f>IF(B4&lt;0," ",F11)</f>
        <v>0</v>
      </c>
      <c r="K11" s="4">
        <f ca="1">IF(O55=2,K6*O59,0)</f>
        <v>0</v>
      </c>
      <c r="L11">
        <v>0</v>
      </c>
      <c r="M11" s="3" t="s">
        <v>5</v>
      </c>
      <c r="N11">
        <f ca="1">SUM(Reseräkning!D44:D47)</f>
        <v>0</v>
      </c>
      <c r="O11" t="e">
        <f>SUM(Reseräkning!#REF!)</f>
        <v>#REF!</v>
      </c>
      <c r="P11" s="18">
        <f>SUM(Reseräkning!E45:E47)</f>
        <v>0</v>
      </c>
    </row>
    <row r="12" spans="2:27" x14ac:dyDescent="0.25">
      <c r="B12" t="s">
        <v>42</v>
      </c>
      <c r="D12" s="1">
        <f>Reseräkning!G18</f>
        <v>0</v>
      </c>
      <c r="E12" t="str">
        <f>IF(D12&lt;0.249999," ",IF(D12&lt;0.791666,'Skatteregler mm'!D15,IF(D12&gt;0.791666,'Skatteregler mm'!D16)))</f>
        <v xml:space="preserve"> </v>
      </c>
      <c r="F12">
        <f>IF(D12&lt;0.791667,'Skatteregler mm'!F15,'Skatteregler mm'!F16)</f>
        <v>0</v>
      </c>
      <c r="I12" t="str">
        <f>IF(B4&lt;0," ",E12)</f>
        <v xml:space="preserve"> </v>
      </c>
      <c r="J12">
        <f>IF(B4&lt;0," ",F12)</f>
        <v>0</v>
      </c>
      <c r="K12" s="4">
        <f ca="1">IF(O61=2,K6*O65,0)</f>
        <v>0</v>
      </c>
      <c r="L12">
        <v>0</v>
      </c>
      <c r="M12" s="3" t="s">
        <v>6</v>
      </c>
      <c r="N12">
        <f ca="1">SUM(Reseräkning!D50:D53)</f>
        <v>0</v>
      </c>
      <c r="O12" t="e">
        <f>SUM(Reseräkning!#REF!)</f>
        <v>#REF!</v>
      </c>
      <c r="P12" s="18">
        <f>SUM(Reseräkning!E51:E53)</f>
        <v>0</v>
      </c>
      <c r="Q12" s="19"/>
    </row>
    <row r="13" spans="2:27" x14ac:dyDescent="0.25">
      <c r="K13" s="4">
        <f ca="1">IF(O67=2,K6*O71,0)</f>
        <v>0</v>
      </c>
      <c r="M13" s="3" t="s">
        <v>181</v>
      </c>
      <c r="N13">
        <f ca="1">SUM(Reseräkning!D65:D68)</f>
        <v>0</v>
      </c>
      <c r="O13" t="e">
        <f>SUM(Reseräkning!#REF!)</f>
        <v>#REF!</v>
      </c>
      <c r="P13" s="18">
        <f>SUM(Reseräkning!E66:E68)</f>
        <v>0</v>
      </c>
    </row>
    <row r="14" spans="2:27" ht="13" x14ac:dyDescent="0.3">
      <c r="B14" s="10" t="s">
        <v>170</v>
      </c>
      <c r="H14" s="31" t="s">
        <v>295</v>
      </c>
      <c r="I14" s="32">
        <f>IF(Reseräkning!D10+1=Reseräkning!F18,1,0)</f>
        <v>0</v>
      </c>
      <c r="K14" s="4">
        <f ca="1">IF(O73=2,K6*O77,0)</f>
        <v>0</v>
      </c>
      <c r="M14" s="3" t="s">
        <v>180</v>
      </c>
      <c r="N14">
        <f ca="1">SUM(Reseräkning!D71:D74)</f>
        <v>0</v>
      </c>
      <c r="O14" t="e">
        <f>SUM(Reseräkning!#REF!)</f>
        <v>#REF!</v>
      </c>
      <c r="P14" s="18">
        <f>SUM(Reseräkning!E72:E74)</f>
        <v>0</v>
      </c>
    </row>
    <row r="15" spans="2:27" x14ac:dyDescent="0.25">
      <c r="B15" t="s">
        <v>10</v>
      </c>
      <c r="D15" t="str">
        <f>Reseräkning!G5</f>
        <v/>
      </c>
      <c r="H15" s="33" t="s">
        <v>296</v>
      </c>
      <c r="I15" s="34">
        <f>IF(D12&lt;0.25,1,0)</f>
        <v>1</v>
      </c>
      <c r="K15" s="4">
        <f ca="1">IF(O79=2,K6*O83,0)</f>
        <v>0</v>
      </c>
      <c r="M15" s="3" t="s">
        <v>219</v>
      </c>
      <c r="N15">
        <f ca="1">SUM(Reseräkning!D77:D80)</f>
        <v>0</v>
      </c>
      <c r="O15" t="e">
        <f>SUM(Reseräkning!#REF!)</f>
        <v>#REF!</v>
      </c>
      <c r="P15" s="18">
        <f>SUM(Reseräkning!E78:E80)</f>
        <v>0</v>
      </c>
    </row>
    <row r="16" spans="2:27" x14ac:dyDescent="0.25">
      <c r="B16" t="s">
        <v>12</v>
      </c>
      <c r="D16" s="1">
        <f>Reseräkning!$E$10</f>
        <v>0</v>
      </c>
      <c r="E16" t="e">
        <f>IF($D$16&lt;0.5,(D15*0.5),D15)</f>
        <v>#VALUE!</v>
      </c>
      <c r="F16">
        <f>IF($D$10&lt;0.5,'Skatteregler mm'!G11,'Skatteregler mm'!G12)</f>
        <v>0</v>
      </c>
      <c r="H16" s="33"/>
      <c r="I16" s="34"/>
      <c r="M16" s="3" t="s">
        <v>220</v>
      </c>
      <c r="N16">
        <f ca="1">SUM(Reseräkning!D83:D86)</f>
        <v>0</v>
      </c>
      <c r="O16" t="e">
        <f>SUM(Reseräkning!#REF!)</f>
        <v>#REF!</v>
      </c>
      <c r="P16" s="18">
        <f>SUM(Reseräkning!E84:E86)</f>
        <v>0</v>
      </c>
    </row>
    <row r="17" spans="1:25" x14ac:dyDescent="0.25">
      <c r="B17" s="20" t="s">
        <v>294</v>
      </c>
      <c r="E17" t="str">
        <f>D15</f>
        <v/>
      </c>
      <c r="F17">
        <f>'Skatteregler mm'!G8</f>
        <v>0</v>
      </c>
      <c r="H17" s="35" t="s">
        <v>297</v>
      </c>
      <c r="I17" s="145">
        <f>IF(Reseräkning!D10=Reseräkning!F18,0,IF(I14+I15=2,0,'Uträkningar mm'!B27))</f>
        <v>0</v>
      </c>
      <c r="M17" s="3" t="s">
        <v>39</v>
      </c>
      <c r="N17" s="65">
        <f ca="1">SUM(N8:N16)</f>
        <v>0</v>
      </c>
      <c r="O17" t="e">
        <f>SUM(O8:O16)</f>
        <v>#REF!</v>
      </c>
      <c r="P17" s="18">
        <f>SUM(Reseräkning!E84:E86)</f>
        <v>0</v>
      </c>
      <c r="Q17" s="19">
        <f>SUM(P8:P16)</f>
        <v>0</v>
      </c>
    </row>
    <row r="18" spans="1:25" x14ac:dyDescent="0.25">
      <c r="B18" t="s">
        <v>42</v>
      </c>
      <c r="D18" s="1">
        <f>Reseräkning!G18</f>
        <v>0</v>
      </c>
      <c r="E18" t="str">
        <f>IF(D18&lt;0.249999," ",IF(D18&lt;0.791667,D15*0.5,IF(D18&gt;0.791667,D15)))</f>
        <v xml:space="preserve"> </v>
      </c>
      <c r="F18">
        <f>IF(D18&lt;0.791667,'Skatteregler mm'!G15,'Skatteregler mm'!G16)</f>
        <v>0</v>
      </c>
      <c r="M18" s="3"/>
    </row>
    <row r="19" spans="1:25" x14ac:dyDescent="0.25">
      <c r="M19" s="3"/>
    </row>
    <row r="20" spans="1:25" x14ac:dyDescent="0.25">
      <c r="M20" s="3"/>
    </row>
    <row r="21" spans="1:25" x14ac:dyDescent="0.25">
      <c r="J21" t="s">
        <v>170</v>
      </c>
      <c r="M21" s="3"/>
    </row>
    <row r="22" spans="1:25" x14ac:dyDescent="0.25">
      <c r="B22" t="s">
        <v>10</v>
      </c>
      <c r="C22" t="s">
        <v>11</v>
      </c>
      <c r="E22" t="s">
        <v>53</v>
      </c>
      <c r="G22" t="s">
        <v>44</v>
      </c>
      <c r="H22" t="s">
        <v>55</v>
      </c>
      <c r="I22" s="20" t="s">
        <v>311</v>
      </c>
      <c r="J22" t="s">
        <v>53</v>
      </c>
      <c r="M22" s="3"/>
    </row>
    <row r="23" spans="1:25" x14ac:dyDescent="0.25">
      <c r="A23" s="11" t="s">
        <v>2</v>
      </c>
      <c r="B23" s="146">
        <f>$E$11</f>
        <v>290</v>
      </c>
      <c r="C23" s="146">
        <f>J9</f>
        <v>0</v>
      </c>
      <c r="D23" t="b">
        <v>0</v>
      </c>
      <c r="E23" s="17">
        <f ca="1">IF($O$31=1,(IF($O$35=1,'Skatteregler mm'!D33,'Skatteregler mm'!D39)),IF($O$31=2,(IF($O$35=1,'Uträkningar mm'!J23,('Uträkningar mm'!J23/2)))))</f>
        <v>44</v>
      </c>
      <c r="F23" s="17" t="e">
        <f ca="1">IF($O$31=1,(IF($O$35=1,'Skatteregler mm'!#REF!,'Skatteregler mm'!#REF!)),0)</f>
        <v>#REF!</v>
      </c>
      <c r="G23" s="141" t="e">
        <f>'Skatteregler mm'!#REF!</f>
        <v>#REF!</v>
      </c>
      <c r="H23" s="17" t="b">
        <v>0</v>
      </c>
      <c r="I23">
        <f>IF(D23,1,0)</f>
        <v>0</v>
      </c>
      <c r="J23" s="17" t="e">
        <f>$K$6*'Skatteregler mm'!$E$33</f>
        <v>#VALUE!</v>
      </c>
      <c r="M23" s="3"/>
    </row>
    <row r="24" spans="1:25" x14ac:dyDescent="0.25">
      <c r="A24" s="11"/>
      <c r="B24" s="146"/>
      <c r="C24" s="146">
        <f>J8</f>
        <v>0</v>
      </c>
      <c r="D24" t="b">
        <v>0</v>
      </c>
      <c r="E24" s="17">
        <f ca="1">IF($O$31=1,(IF($O$35=1,'Skatteregler mm'!D32,'Skatteregler mm'!D38)),IF($O$31=2,(IF($O$35=1,'Uträkningar mm'!J24,('Uträkningar mm'!J24/2)))))</f>
        <v>102</v>
      </c>
      <c r="F24" s="17" t="e">
        <f ca="1">IF($O$31=1,(IF($O$35=1,'Skatteregler mm'!#REF!,'Skatteregler mm'!#REF!)),0)</f>
        <v>#REF!</v>
      </c>
      <c r="G24" s="17" t="e">
        <f>'Skatteregler mm'!#REF!</f>
        <v>#REF!</v>
      </c>
      <c r="H24" s="17" t="b">
        <v>0</v>
      </c>
      <c r="I24">
        <f>IF(D24,2,0)</f>
        <v>0</v>
      </c>
      <c r="J24" s="17" t="e">
        <f>$K$6*'Skatteregler mm'!$E$32</f>
        <v>#VALUE!</v>
      </c>
      <c r="M24" s="3" t="s">
        <v>47</v>
      </c>
    </row>
    <row r="25" spans="1:25" x14ac:dyDescent="0.25">
      <c r="A25" s="11" t="s">
        <v>197</v>
      </c>
      <c r="B25" s="146">
        <f ca="1">IF($O$31=1,$O$35*B23,0)</f>
        <v>290</v>
      </c>
      <c r="C25" s="146">
        <f>IF($O$35=0.5,C23,C24)</f>
        <v>0</v>
      </c>
      <c r="D25" t="b">
        <v>0</v>
      </c>
      <c r="E25" s="17">
        <f ca="1">IF($O$31=1,(IF($O$35=1,'Skatteregler mm'!D32,'Skatteregler mm'!D38)),IF($O$31=2,(IF($O$35=1,'Uträkningar mm'!J24,('Uträkningar mm'!J24/2)))))</f>
        <v>102</v>
      </c>
      <c r="F25" s="17" t="e">
        <f ca="1">IF($O$31=1,(IF($O$35=1,'Skatteregler mm'!#REF!,'Skatteregler mm'!#REF!)),0)</f>
        <v>#REF!</v>
      </c>
      <c r="G25" s="17" t="e">
        <f>'Skatteregler mm'!#REF!</f>
        <v>#REF!</v>
      </c>
      <c r="H25" s="17" t="b">
        <v>0</v>
      </c>
      <c r="I25">
        <f>IF(D25,4,0)</f>
        <v>0</v>
      </c>
      <c r="J25" s="17" t="e">
        <f>$K$6*'Skatteregler mm'!$E$32</f>
        <v>#VALUE!</v>
      </c>
      <c r="M25" s="3"/>
      <c r="N25" t="s">
        <v>50</v>
      </c>
      <c r="O25" t="s">
        <v>11</v>
      </c>
      <c r="U25" s="11" t="s">
        <v>194</v>
      </c>
      <c r="V25" s="11" t="s">
        <v>195</v>
      </c>
      <c r="W25" s="11"/>
      <c r="X25" s="11"/>
      <c r="Y25" s="11"/>
    </row>
    <row r="26" spans="1:25" x14ac:dyDescent="0.25">
      <c r="A26" s="11" t="s">
        <v>170</v>
      </c>
      <c r="B26" s="146">
        <f ca="1">K7</f>
        <v>0</v>
      </c>
      <c r="C26" s="146"/>
      <c r="D26">
        <f ca="1">IF($O$31=1,IF($O$35=1,1,IF($O$35=0.5,10,0)),0)</f>
        <v>1</v>
      </c>
      <c r="E26" s="147">
        <f ca="1">D26*I26</f>
        <v>0</v>
      </c>
      <c r="F26" s="17"/>
      <c r="G26" s="17"/>
      <c r="H26" s="17"/>
      <c r="I26">
        <f>SUM(I23:I25)</f>
        <v>0</v>
      </c>
      <c r="J26" s="17"/>
      <c r="M26" s="3"/>
      <c r="N26" s="1">
        <f>SUM(Reseräkning!D93:D94)</f>
        <v>0</v>
      </c>
      <c r="O26" s="1" t="e">
        <f>SUM(Reseräkning!#REF!)</f>
        <v>#REF!</v>
      </c>
      <c r="Q26" t="s">
        <v>188</v>
      </c>
      <c r="R26" s="9">
        <f ca="1">IF(Reseräkning!D10=0,(NOW()),Reseräkning!D10)</f>
        <v>45419.476276967594</v>
      </c>
      <c r="S26" s="6">
        <f>Reseräkning!$E$10</f>
        <v>0</v>
      </c>
      <c r="T26" s="6">
        <f t="shared" ref="T26:T28" si="0">IF(S26&lt;0.25,0.25,S26)</f>
        <v>0.25</v>
      </c>
      <c r="U26" s="11"/>
      <c r="V26" s="11"/>
      <c r="W26" s="11"/>
      <c r="X26" s="11"/>
      <c r="Y26" s="11"/>
    </row>
    <row r="27" spans="1:25" ht="13" thickBot="1" x14ac:dyDescent="0.3">
      <c r="A27" s="16" t="s">
        <v>196</v>
      </c>
      <c r="B27" s="37">
        <f ca="1">IF($O$31=1,B25,IF($O$31=2,B26," "))</f>
        <v>290</v>
      </c>
      <c r="C27" s="37">
        <f ca="1">IF(O31=1,C25,IF(O31=2," "," "))</f>
        <v>0</v>
      </c>
      <c r="D27" s="148" t="s">
        <v>312</v>
      </c>
      <c r="E27" s="137">
        <f ca="1">-1*IF(E26=0,0,IF(E26=1,'Skatteregler mm'!$D$33,IF(E26=10,'Skatteregler mm'!$D$39,IF(E26=2,'Skatteregler mm'!$D$32,IF(E26=20,'Skatteregler mm'!$D$38,IF(E26=3,'Skatteregler mm'!$D$33+'Skatteregler mm'!$D$32,IF(E26=30,'Skatteregler mm'!$D$39+'Skatteregler mm'!$D$38,IF(E26=4,'Skatteregler mm'!$D$32,IF(E26=40,'Skatteregler mm'!$D$38,IF(E26=5,'Skatteregler mm'!$D$33+'Skatteregler mm'!$D$32,IF(E26=50,'Skatteregler mm'!$D$39+'Skatteregler mm'!$D$38,IF(E26=6,'Skatteregler mm'!$D$31,IF(E26=60,'Skatteregler mm'!$D$37,IF(E26=7,'Skatteregler mm'!$D$30,IF(E26=70,'Skatteregler mm'!$D$36,0)))))))))))))))</f>
        <v>0</v>
      </c>
      <c r="F27" s="135"/>
      <c r="G27" s="137">
        <f ca="1">IF(B27=B25,E27,IF(B27=B26,SUM(Reseräkning!D27:D29),0))</f>
        <v>0</v>
      </c>
      <c r="H27" s="135"/>
      <c r="I27" s="136"/>
      <c r="J27" s="135"/>
      <c r="M27" s="3"/>
      <c r="Q27" t="s">
        <v>178</v>
      </c>
      <c r="R27" s="9">
        <f ca="1">IF(Reseräkning!F10=0,(NOW()),Reseräkning!F10)</f>
        <v>45419.476276967594</v>
      </c>
      <c r="S27" s="6">
        <f>Reseräkning!G10</f>
        <v>0</v>
      </c>
      <c r="T27" s="6">
        <f t="shared" si="0"/>
        <v>0.25</v>
      </c>
      <c r="U27" s="12">
        <f ca="1">(R27-R26)+IF(R28&gt;R27,(R28-R27),(IF(R27=R28,(IF(V27&gt;=V28,1,0)))))</f>
        <v>1</v>
      </c>
      <c r="V27" s="13">
        <f ca="1">IF(R27=R28*AND(R27=R26),T27-T26,IF(R27=R28,T27-0.25,0))</f>
        <v>0</v>
      </c>
      <c r="W27" s="11" t="s">
        <v>221</v>
      </c>
      <c r="X27" s="11"/>
      <c r="Y27" s="11"/>
    </row>
    <row r="28" spans="1:25" x14ac:dyDescent="0.25">
      <c r="A28" s="15" t="s">
        <v>3</v>
      </c>
      <c r="B28" s="149">
        <f>$E$11</f>
        <v>290</v>
      </c>
      <c r="C28" s="149">
        <f>J9</f>
        <v>0</v>
      </c>
      <c r="D28" t="b">
        <v>0</v>
      </c>
      <c r="E28" s="17" t="b">
        <f ca="1">IF($O$37=1,(IF($O$41=1,'Skatteregler mm'!D33,'Skatteregler mm'!D39)),IF($O$37=2,(IF($O$41=1,'Uträkningar mm'!J28,('Uträkningar mm'!J28/2)))))</f>
        <v>0</v>
      </c>
      <c r="F28" s="17">
        <f ca="1">IF($O$37=1,(IF($O$41=1,'Skatteregler mm'!#REF!,'Skatteregler mm'!#REF!)),0)</f>
        <v>0</v>
      </c>
      <c r="G28" s="17" t="e">
        <f>'Skatteregler mm'!#REF!</f>
        <v>#REF!</v>
      </c>
      <c r="H28" s="17" t="b">
        <v>0</v>
      </c>
      <c r="I28">
        <f>IF(D28,1,0)</f>
        <v>0</v>
      </c>
      <c r="J28" s="17" t="e">
        <f>$K$6*'Skatteregler mm'!$E$33</f>
        <v>#VALUE!</v>
      </c>
      <c r="M28" t="s">
        <v>7</v>
      </c>
      <c r="O28" s="4">
        <f>Reseräkning!$F$18-Reseräkning!$D$10+1</f>
        <v>1</v>
      </c>
      <c r="Q28" t="s">
        <v>189</v>
      </c>
      <c r="R28" s="9">
        <f ca="1">IF(Reseräkning!D14=0,(NOW()),Reseräkning!D14)</f>
        <v>45419.476276967594</v>
      </c>
      <c r="S28" s="6">
        <f>Reseräkning!E14</f>
        <v>0</v>
      </c>
      <c r="T28" s="6">
        <f t="shared" si="0"/>
        <v>0.25</v>
      </c>
      <c r="U28" s="11">
        <f ca="1">IF((V28&gt;V27)*AND(R28=R27),1,0)</f>
        <v>0</v>
      </c>
      <c r="V28" s="13">
        <f ca="1">IF(R28=R27*AND(R28=R29),T29-T28,IF(R28=R29,T29-T28,IF(R28&gt;R27,1-T28,IF(R27=R28,1-T28,0))))</f>
        <v>-9.9999999999988987E-5</v>
      </c>
      <c r="W28" s="11" t="s">
        <v>222</v>
      </c>
      <c r="X28" s="11"/>
      <c r="Y28" s="11"/>
    </row>
    <row r="29" spans="1:25" x14ac:dyDescent="0.25">
      <c r="A29" s="11"/>
      <c r="B29" s="146"/>
      <c r="C29" s="146">
        <f>J8</f>
        <v>0</v>
      </c>
      <c r="D29" t="b">
        <v>0</v>
      </c>
      <c r="E29" s="17" t="b">
        <f ca="1">IF($O$37=1,(IF($O$41=1,'Skatteregler mm'!D32,'Skatteregler mm'!D38)),IF($O$37=2,(IF($O$41=1,'Uträkningar mm'!J24,('Uträkningar mm'!J24/2)))))</f>
        <v>0</v>
      </c>
      <c r="F29" s="17">
        <f ca="1">IF($O$37=1,(IF($O$41=1,'Skatteregler mm'!#REF!,'Skatteregler mm'!#REF!)),0)</f>
        <v>0</v>
      </c>
      <c r="G29" s="17" t="e">
        <f>'Skatteregler mm'!#REF!</f>
        <v>#REF!</v>
      </c>
      <c r="H29" s="17" t="b">
        <v>0</v>
      </c>
      <c r="I29">
        <f>IF(D29,2,0)</f>
        <v>0</v>
      </c>
      <c r="J29" s="17" t="e">
        <f>$K$6*'Skatteregler mm'!$E$32</f>
        <v>#VALUE!</v>
      </c>
      <c r="M29" s="3"/>
      <c r="Q29" t="s">
        <v>190</v>
      </c>
      <c r="R29" s="9">
        <f ca="1">IF(Reseräkning!F14=0,(NOW()),Reseräkning!F14)</f>
        <v>45419.476276967594</v>
      </c>
      <c r="S29" s="6">
        <f>Reseräkning!G14</f>
        <v>0</v>
      </c>
      <c r="T29" s="36">
        <f>IF(S29&lt;0.25,0.2499,S29)</f>
        <v>0.24990000000000001</v>
      </c>
      <c r="U29" s="12">
        <f ca="1">IF((R27=R28),-1,(IF((R29=R30)-1,0)))+R30-R28</f>
        <v>-1</v>
      </c>
      <c r="V29" s="11"/>
      <c r="W29" s="11" t="s">
        <v>200</v>
      </c>
      <c r="X29" s="11"/>
      <c r="Y29" s="11"/>
    </row>
    <row r="30" spans="1:25" x14ac:dyDescent="0.25">
      <c r="A30" s="11" t="s">
        <v>197</v>
      </c>
      <c r="B30" s="146">
        <f ca="1">IF($O$37=1,$O$41*B28,0)</f>
        <v>0</v>
      </c>
      <c r="C30" s="146">
        <f ca="1">IF($O$41=0.5,C28,C29)</f>
        <v>0</v>
      </c>
      <c r="D30" t="b">
        <v>0</v>
      </c>
      <c r="E30" s="17" t="b">
        <f ca="1">IF($O$37=1,(IF($O$41=1,'Skatteregler mm'!D32,'Skatteregler mm'!D38)),IF($O$37=2,(IF($O$41=1,'Uträkningar mm'!J24,('Uträkningar mm'!J24/2)))))</f>
        <v>0</v>
      </c>
      <c r="F30" s="17">
        <f ca="1">IF($O$37=1,(IF($O$41=1,'Skatteregler mm'!#REF!,'Skatteregler mm'!#REF!)),0)</f>
        <v>0</v>
      </c>
      <c r="G30" s="17" t="e">
        <f>'Skatteregler mm'!#REF!</f>
        <v>#REF!</v>
      </c>
      <c r="H30" s="17" t="b">
        <v>0</v>
      </c>
      <c r="I30">
        <f>IF(D30,4,0)</f>
        <v>0</v>
      </c>
      <c r="J30" s="17" t="e">
        <f>$K$6*'Skatteregler mm'!$E$32</f>
        <v>#VALUE!</v>
      </c>
      <c r="M30" s="3" t="s">
        <v>193</v>
      </c>
      <c r="Q30" t="s">
        <v>191</v>
      </c>
      <c r="R30" s="9">
        <f ca="1">IF(Reseräkning!D18=0,(NOW()),Reseräkning!D18)</f>
        <v>45419.476276967594</v>
      </c>
      <c r="S30" s="6">
        <f>Reseräkning!E18</f>
        <v>0</v>
      </c>
      <c r="T30" s="36">
        <f>IF(S30&lt;0.25,0.2499,S30)</f>
        <v>0.24990000000000001</v>
      </c>
      <c r="U30" s="12">
        <f ca="1">IF((V30&gt;V31)*AND(R30=R29),1,0)</f>
        <v>0</v>
      </c>
      <c r="V30" s="14">
        <f ca="1">IF(R30=R29,T29-0.25,0)</f>
        <v>-9.9999999999988987E-5</v>
      </c>
      <c r="W30" s="11" t="s">
        <v>203</v>
      </c>
      <c r="X30" s="11"/>
      <c r="Y30" s="11"/>
    </row>
    <row r="31" spans="1:25" x14ac:dyDescent="0.25">
      <c r="A31" s="11" t="s">
        <v>170</v>
      </c>
      <c r="B31" s="146">
        <f ca="1">K8</f>
        <v>0</v>
      </c>
      <c r="C31" s="146"/>
      <c r="D31">
        <f ca="1">IF($O$37=1,IF($O$41=1,1,IF($O$41=0.5,10,0)),0)</f>
        <v>0</v>
      </c>
      <c r="E31" s="147">
        <f ca="1">D31*I31</f>
        <v>0</v>
      </c>
      <c r="F31" s="17"/>
      <c r="G31" s="17"/>
      <c r="H31" s="17"/>
      <c r="I31">
        <f>SUM(I28:I30)</f>
        <v>0</v>
      </c>
      <c r="J31" s="17"/>
      <c r="M31" s="3" t="s">
        <v>172</v>
      </c>
      <c r="O31">
        <f ca="1">IF(U32&lt;1,0,IF(O32&gt;=O33,1,2))</f>
        <v>1</v>
      </c>
      <c r="P31" s="9">
        <f>Reseräkning!D10</f>
        <v>0</v>
      </c>
      <c r="Q31" t="s">
        <v>192</v>
      </c>
      <c r="R31" s="9">
        <f ca="1">IF(Reseräkning!F18=0,(NOW()),Reseräkning!F18)</f>
        <v>45419.476276967594</v>
      </c>
      <c r="S31" s="6">
        <f>Reseräkning!G18</f>
        <v>0</v>
      </c>
      <c r="T31" s="36">
        <f>IF(S31&lt;0.25,0.2499,S31)</f>
        <v>0.24990000000000001</v>
      </c>
      <c r="U31" s="12">
        <f ca="1">(R31-R30)+IF((V31&gt;V30)*AND(R30&gt;=R29),1,0)</f>
        <v>1</v>
      </c>
      <c r="V31" s="14">
        <f ca="1">IF(R31=R30,T31-T30,1-T30)</f>
        <v>0</v>
      </c>
      <c r="W31" s="11" t="s">
        <v>201</v>
      </c>
      <c r="X31" s="11"/>
      <c r="Y31" s="11"/>
    </row>
    <row r="32" spans="1:25" ht="13" thickBot="1" x14ac:dyDescent="0.3">
      <c r="A32" s="16" t="s">
        <v>196</v>
      </c>
      <c r="B32" s="37" t="str">
        <f ca="1">IF($O$37=1,B30,IF($O$37=2,B31," "))</f>
        <v xml:space="preserve"> </v>
      </c>
      <c r="C32" s="37" t="str">
        <f ca="1">IF(O37=1,C30,IF(O37=2," "," "))</f>
        <v xml:space="preserve"> </v>
      </c>
      <c r="D32" s="148" t="s">
        <v>312</v>
      </c>
      <c r="E32" s="137">
        <f ca="1">-1*IF(E31=0,0,IF(E31=1,'Skatteregler mm'!$D$33,IF(E31=10,'Skatteregler mm'!$D$39,IF(E31=2,'Skatteregler mm'!$D$32,IF(E31=20,'Skatteregler mm'!$D$38,IF(E31=3,'Skatteregler mm'!$D$33+'Skatteregler mm'!$D$32,IF(E31=30,'Skatteregler mm'!$D$39+'Skatteregler mm'!$D$38,IF(E31=4,'Skatteregler mm'!$D$32,IF(E31=40,'Skatteregler mm'!$D$38,IF(E31=5,'Skatteregler mm'!$D$33+'Skatteregler mm'!$D$32,IF(E31=50,'Skatteregler mm'!$D$39+'Skatteregler mm'!$D$38,IF(E31=6,'Skatteregler mm'!$D$31,IF(E31=60,'Skatteregler mm'!$D$37,IF(E31=7,'Skatteregler mm'!$D$30,IF(E31=70,'Skatteregler mm'!$D$36,0)))))))))))))))</f>
        <v>0</v>
      </c>
      <c r="F32" s="135"/>
      <c r="G32" s="137">
        <f ca="1">IF(B32=B30,E32,IF(B32=B31,SUM(Reseräkning!D33:D35),0))</f>
        <v>0</v>
      </c>
      <c r="H32" s="135"/>
      <c r="I32" s="136"/>
      <c r="J32" s="135"/>
      <c r="M32" t="s">
        <v>171</v>
      </c>
      <c r="O32" s="5">
        <f ca="1">IF(U27&gt;1,0.75,V27)</f>
        <v>0</v>
      </c>
      <c r="P32" s="6"/>
      <c r="Q32" s="8"/>
      <c r="U32" s="12">
        <f ca="1">SUM(U26:U31)</f>
        <v>1</v>
      </c>
    </row>
    <row r="33" spans="1:21" x14ac:dyDescent="0.25">
      <c r="A33" s="15" t="s">
        <v>4</v>
      </c>
      <c r="B33" s="149">
        <f>$E$11</f>
        <v>290</v>
      </c>
      <c r="C33" s="149">
        <f>J9</f>
        <v>0</v>
      </c>
      <c r="D33" t="b">
        <v>0</v>
      </c>
      <c r="E33" s="17" t="b">
        <f ca="1">IF($O$43=1,(IF($O$47=1,'Skatteregler mm'!D33,'Skatteregler mm'!D39)),IF($O$43=2,(IF($O$47=1,'Uträkningar mm'!J33,('Uträkningar mm'!J33/2)))))</f>
        <v>0</v>
      </c>
      <c r="F33" s="17">
        <f ca="1">IF($O$43=1,(IF($O$47=1,'Skatteregler mm'!#REF!,'Skatteregler mm'!#REF!)),0)</f>
        <v>0</v>
      </c>
      <c r="G33" s="17" t="e">
        <f>'Skatteregler mm'!#REF!</f>
        <v>#REF!</v>
      </c>
      <c r="H33" s="17" t="b">
        <v>0</v>
      </c>
      <c r="I33">
        <f>IF(D33,1,0)</f>
        <v>0</v>
      </c>
      <c r="J33" s="17" t="e">
        <f>$K$6*'Skatteregler mm'!$E$33</f>
        <v>#VALUE!</v>
      </c>
      <c r="M33" s="3" t="s">
        <v>173</v>
      </c>
      <c r="O33" s="6">
        <f ca="1">IF(R26=R28,V28,0)</f>
        <v>-9.9999999999988987E-5</v>
      </c>
    </row>
    <row r="34" spans="1:21" x14ac:dyDescent="0.25">
      <c r="A34" s="11"/>
      <c r="B34" s="146"/>
      <c r="C34" s="146">
        <f>J8</f>
        <v>0</v>
      </c>
      <c r="D34" t="b">
        <v>0</v>
      </c>
      <c r="E34" s="17" t="b">
        <f ca="1">IF($O$43=1,(IF($O$47=1,'Skatteregler mm'!$D$32,'Skatteregler mm'!$D$38)),IF($O$43=2,(IF($O$47=1,'Uträkningar mm'!J34,('Uträkningar mm'!J34/2)))))</f>
        <v>0</v>
      </c>
      <c r="F34" s="17">
        <f ca="1">IF($O$43=1,(IF($O$47=1,'Skatteregler mm'!#REF!,'Skatteregler mm'!#REF!)),0)</f>
        <v>0</v>
      </c>
      <c r="G34" s="17" t="e">
        <f>'Skatteregler mm'!#REF!</f>
        <v>#REF!</v>
      </c>
      <c r="H34" s="17" t="b">
        <v>0</v>
      </c>
      <c r="I34">
        <f>IF(D34,2,0)</f>
        <v>0</v>
      </c>
      <c r="J34" s="17" t="e">
        <f>$K$6*'Skatteregler mm'!$E$32</f>
        <v>#VALUE!</v>
      </c>
      <c r="M34" s="3" t="s">
        <v>187</v>
      </c>
      <c r="O34" s="6">
        <f ca="1">IF(R26=R28,(S28-S26),0)</f>
        <v>0</v>
      </c>
      <c r="P34" t="s">
        <v>202</v>
      </c>
      <c r="Q34" s="1"/>
    </row>
    <row r="35" spans="1:21" x14ac:dyDescent="0.25">
      <c r="A35" s="11" t="s">
        <v>198</v>
      </c>
      <c r="B35" s="146">
        <f ca="1">IF($O$43=1,$O$47*B33,0)</f>
        <v>0</v>
      </c>
      <c r="C35" s="146">
        <f ca="1">IF($O$47=0.5,C33,C34)</f>
        <v>0</v>
      </c>
      <c r="D35" t="b">
        <v>0</v>
      </c>
      <c r="E35" s="17" t="b">
        <f ca="1">IF($O$43=1,(IF($O$47=1,'Skatteregler mm'!$D$32,'Skatteregler mm'!$D$38)),IF($O$43=2,(IF($O$47=1,'Uträkningar mm'!J35,('Uträkningar mm'!J35/2)))))</f>
        <v>0</v>
      </c>
      <c r="F35" s="17">
        <f ca="1">IF($O$43=1,(IF($O$47=1,'Skatteregler mm'!#REF!,'Skatteregler mm'!#REF!)),0)</f>
        <v>0</v>
      </c>
      <c r="G35" s="17" t="e">
        <f>'Skatteregler mm'!#REF!</f>
        <v>#REF!</v>
      </c>
      <c r="H35" s="17" t="b">
        <v>0</v>
      </c>
      <c r="I35">
        <f>IF(D35,4,0)</f>
        <v>0</v>
      </c>
      <c r="J35" s="17" t="e">
        <f>$K$6*'Skatteregler mm'!$E$32</f>
        <v>#VALUE!</v>
      </c>
      <c r="M35" s="3" t="s">
        <v>174</v>
      </c>
      <c r="O35" s="1">
        <f>IF(S26&lt;TIMEVALUE("11:59:59"),1,0.5)</f>
        <v>1</v>
      </c>
      <c r="Q35" s="1"/>
    </row>
    <row r="36" spans="1:21" x14ac:dyDescent="0.25">
      <c r="A36" s="11" t="s">
        <v>170</v>
      </c>
      <c r="B36" s="146">
        <f ca="1">K9</f>
        <v>0</v>
      </c>
      <c r="C36" s="146"/>
      <c r="D36">
        <f ca="1">IF($O$43=1,IF($O$47=1,1,IF($O$47=0.5,10,0)),0)</f>
        <v>0</v>
      </c>
      <c r="E36" s="147">
        <f ca="1">D36*I36</f>
        <v>0</v>
      </c>
      <c r="F36" s="17"/>
      <c r="G36" s="17"/>
      <c r="H36" s="17"/>
      <c r="I36">
        <f>SUM(I33:I35)</f>
        <v>0</v>
      </c>
      <c r="J36" s="17"/>
      <c r="M36" s="3"/>
      <c r="O36" s="1"/>
      <c r="Q36" s="1"/>
      <c r="R36" s="4"/>
      <c r="S36" s="6"/>
    </row>
    <row r="37" spans="1:21" ht="13" thickBot="1" x14ac:dyDescent="0.3">
      <c r="A37" s="16" t="s">
        <v>196</v>
      </c>
      <c r="B37" s="37" t="str">
        <f ca="1">IF(O43=1,B35,IF(O43=2,B36," "))</f>
        <v xml:space="preserve"> </v>
      </c>
      <c r="C37" s="37" t="str">
        <f ca="1">IF(O43=1,C35,IF(O43=2," "," "))</f>
        <v xml:space="preserve"> </v>
      </c>
      <c r="D37" s="148" t="s">
        <v>312</v>
      </c>
      <c r="E37" s="137">
        <f ca="1">-1*IF(E36=0,0,IF(E36=1,'Skatteregler mm'!$D$33,IF(E36=10,'Skatteregler mm'!$D$39,IF(E36=2,'Skatteregler mm'!$D$32,IF(E36=20,'Skatteregler mm'!$D$38,IF(E36=3,'Skatteregler mm'!$D$33+'Skatteregler mm'!$D$32,IF(E36=30,'Skatteregler mm'!$D$39+'Skatteregler mm'!$D$38,IF(E36=4,'Skatteregler mm'!$D$32,IF(E36=40,'Skatteregler mm'!$D$38,IF(E36=5,'Skatteregler mm'!$D$33+'Skatteregler mm'!$D$32,IF(E36=50,'Skatteregler mm'!$D$39+'Skatteregler mm'!$D$38,IF(E36=6,'Skatteregler mm'!$D$31,IF(E36=60,'Skatteregler mm'!$D$37,IF(E36=7,'Skatteregler mm'!$D$30,IF(E36=70,'Skatteregler mm'!$D$36,0)))))))))))))))</f>
        <v>0</v>
      </c>
      <c r="F37" s="135"/>
      <c r="G37" s="137">
        <f ca="1">IF(B37=B35,E37,IF(B37=B36,SUM(Reseräkning!D39:D41),0))</f>
        <v>0</v>
      </c>
      <c r="H37" s="135"/>
      <c r="I37" s="136"/>
      <c r="J37" s="135"/>
      <c r="M37" s="3" t="s">
        <v>3</v>
      </c>
      <c r="O37">
        <f ca="1">IF(U32&lt;2,0,IF(O38&gt;=O39,1,2))</f>
        <v>0</v>
      </c>
      <c r="P37" s="9">
        <f>P31+1</f>
        <v>1</v>
      </c>
      <c r="Q37" s="1"/>
      <c r="S37" s="6"/>
      <c r="T37" s="20" t="s">
        <v>298</v>
      </c>
    </row>
    <row r="38" spans="1:21" x14ac:dyDescent="0.25">
      <c r="A38" s="15" t="s">
        <v>5</v>
      </c>
      <c r="B38" s="149">
        <f>$E$11</f>
        <v>290</v>
      </c>
      <c r="C38" s="149">
        <f>J9</f>
        <v>0</v>
      </c>
      <c r="D38" t="b">
        <v>0</v>
      </c>
      <c r="E38" s="17" t="b">
        <f ca="1">IF($O$49=1,(IF($O$53=1,'Skatteregler mm'!D33,'Skatteregler mm'!D39)),IF($O$49=2,(IF($O$53=1,'Uträkningar mm'!J38,('Uträkningar mm'!J38/2)))))</f>
        <v>0</v>
      </c>
      <c r="F38" s="17">
        <f ca="1">IF($O$49=1,(IF($O$53=1,'Skatteregler mm'!#REF!,'Skatteregler mm'!#REF!)),0)</f>
        <v>0</v>
      </c>
      <c r="G38" s="17" t="e">
        <f>'Skatteregler mm'!#REF!</f>
        <v>#REF!</v>
      </c>
      <c r="H38" s="17" t="b">
        <v>0</v>
      </c>
      <c r="I38">
        <f>IF(D38,1,0)</f>
        <v>0</v>
      </c>
      <c r="J38" s="17" t="e">
        <f>$K$6*'Skatteregler mm'!$E$33</f>
        <v>#VALUE!</v>
      </c>
      <c r="M38" t="s">
        <v>171</v>
      </c>
      <c r="O38" s="5">
        <f ca="1">(IF(P37&lt;$R$28,0.75,(IF(P37&gt;$R$30,0.75,IF((P37=$R$27)*AND($R$28=P37),$V$27,(IF((P37=$R$30)*AND($R$30&gt;$R$29),1-T30,IF((P37=$R$30)*AND($R$30=$R$29),$V$31,0))))))))</f>
        <v>0.75</v>
      </c>
      <c r="P38" s="5"/>
      <c r="Q38" s="5"/>
      <c r="R38" s="5"/>
      <c r="T38" s="20" t="s">
        <v>299</v>
      </c>
      <c r="U38">
        <f>IF(I17=0,0,'Uträkningar mm'!U27+'Uträkningar mm'!U31)</f>
        <v>0</v>
      </c>
    </row>
    <row r="39" spans="1:21" x14ac:dyDescent="0.25">
      <c r="A39" s="11"/>
      <c r="B39" s="146"/>
      <c r="C39" s="146">
        <f>J8</f>
        <v>0</v>
      </c>
      <c r="D39" t="b">
        <v>0</v>
      </c>
      <c r="E39" s="17" t="b">
        <f ca="1">IF($O$49=1,(IF($O$53=1,'Skatteregler mm'!$D$32,'Skatteregler mm'!$D$38)),IF($O$49=2,(IF($O$53=1,'Uträkningar mm'!J39,('Uträkningar mm'!J39/2)))))</f>
        <v>0</v>
      </c>
      <c r="F39" s="17">
        <f ca="1">IF($O$49=1,(IF($O$53=1,'Skatteregler mm'!#REF!,'Skatteregler mm'!#REF!)),0)</f>
        <v>0</v>
      </c>
      <c r="G39" s="17" t="e">
        <f>'Skatteregler mm'!#REF!</f>
        <v>#REF!</v>
      </c>
      <c r="H39" s="17" t="b">
        <v>0</v>
      </c>
      <c r="I39">
        <f>IF(D39,2,0)</f>
        <v>0</v>
      </c>
      <c r="J39" s="17" t="e">
        <f>$K$6*'Skatteregler mm'!$E$32</f>
        <v>#VALUE!</v>
      </c>
      <c r="M39" s="3" t="s">
        <v>173</v>
      </c>
      <c r="O39" s="5">
        <f ca="1">(IF((P37=$R$27)*AND($R$28=P37),$V$28,(IF((P37=$R$30)*AND($R$30=$R$29),$V$30,(IF((P37&gt;$R$28)*AND(P37&lt;$R$30),0.75,(IF(P37&lt;$R$30,0.75,0))))))))</f>
        <v>0.75</v>
      </c>
      <c r="Q39" s="1"/>
      <c r="T39" s="20" t="s">
        <v>300</v>
      </c>
      <c r="U39">
        <f>IF(I17=0,0,U28+U29+U30)</f>
        <v>0</v>
      </c>
    </row>
    <row r="40" spans="1:21" x14ac:dyDescent="0.25">
      <c r="A40" s="11" t="s">
        <v>197</v>
      </c>
      <c r="B40" s="146">
        <f ca="1">IF($O$49=1,$O$53*B38,0)</f>
        <v>0</v>
      </c>
      <c r="C40" s="146">
        <f ca="1">IF($O$53=0.5,C38,C39)</f>
        <v>0</v>
      </c>
      <c r="D40" t="b">
        <v>0</v>
      </c>
      <c r="E40" s="17" t="b">
        <f ca="1">IF($O$49=1,(IF($O$53=1,'Skatteregler mm'!$D$32,'Skatteregler mm'!$D$38)),IF($O$49=2,(IF($O$53=1,'Uträkningar mm'!J40,('Uträkningar mm'!J40/2)))))</f>
        <v>0</v>
      </c>
      <c r="F40" s="17">
        <f ca="1">IF($O$49=1,(IF($O$53=1,'Skatteregler mm'!#REF!,'Skatteregler mm'!#REF!)),0)</f>
        <v>0</v>
      </c>
      <c r="G40" s="17" t="e">
        <f>'Skatteregler mm'!#REF!</f>
        <v>#REF!</v>
      </c>
      <c r="H40" s="17" t="b">
        <v>0</v>
      </c>
      <c r="I40">
        <f>IF(D40,4,0)</f>
        <v>0</v>
      </c>
      <c r="J40" s="17" t="e">
        <f>$K$6*'Skatteregler mm'!$E$32</f>
        <v>#VALUE!</v>
      </c>
      <c r="M40" s="3" t="s">
        <v>187</v>
      </c>
      <c r="O40" s="6">
        <f ca="1">IF(R$27=R$28,(T$28-T$27),IF(R$28-R$27=1,(1-T$27)+S$29,0))</f>
        <v>0</v>
      </c>
      <c r="Q40" s="1"/>
    </row>
    <row r="41" spans="1:21" x14ac:dyDescent="0.25">
      <c r="A41" s="11" t="s">
        <v>199</v>
      </c>
      <c r="B41" s="146">
        <f ca="1">K10</f>
        <v>0</v>
      </c>
      <c r="C41" s="146"/>
      <c r="D41">
        <f ca="1">IF($O$49=1,IF($O$53=1,1,IF($O$53=0.5,10,0)),0)</f>
        <v>0</v>
      </c>
      <c r="E41" s="147">
        <f ca="1">D41*I41</f>
        <v>0</v>
      </c>
      <c r="F41" s="17"/>
      <c r="G41" s="17"/>
      <c r="H41" s="17"/>
      <c r="I41">
        <f>SUM(I38:I40)</f>
        <v>0</v>
      </c>
      <c r="J41" s="17"/>
      <c r="M41" s="3" t="s">
        <v>185</v>
      </c>
      <c r="O41" s="1">
        <f ca="1">IF(R31-R26&gt;1,1,IF(R31-R26=1,IF(T31&gt;TIMEVALUE("19:00:59"),1,0.5),0))</f>
        <v>0</v>
      </c>
      <c r="Q41" s="1"/>
    </row>
    <row r="42" spans="1:21" ht="13" thickBot="1" x14ac:dyDescent="0.3">
      <c r="A42" s="16" t="s">
        <v>196</v>
      </c>
      <c r="B42" s="37" t="str">
        <f ca="1">IF(O49=1,B40,IF(O49=2,B41," "))</f>
        <v xml:space="preserve"> </v>
      </c>
      <c r="C42" s="37" t="str">
        <f ca="1">IF(O49=1,C40,IF(O49=2," "," "))</f>
        <v xml:space="preserve"> </v>
      </c>
      <c r="D42" s="148" t="s">
        <v>312</v>
      </c>
      <c r="E42" s="137">
        <f ca="1">-1*IF(E41=0,0,IF(E41=1,'Skatteregler mm'!$D$33,IF(E41=10,'Skatteregler mm'!$D$39,IF(E41=2,'Skatteregler mm'!$D$32,IF(E41=20,'Skatteregler mm'!$D$38,IF(E41=3,'Skatteregler mm'!$D$33+'Skatteregler mm'!$D$32,IF(E41=30,'Skatteregler mm'!$D$39+'Skatteregler mm'!$D$38,IF(E41=4,'Skatteregler mm'!$D$32,IF(E41=40,'Skatteregler mm'!$D$38,IF(E41=5,'Skatteregler mm'!$D$33+'Skatteregler mm'!$D$32,IF(E41=50,'Skatteregler mm'!$D$39+'Skatteregler mm'!$D$38,IF(E41=6,'Skatteregler mm'!$D$31,IF(E41=60,'Skatteregler mm'!$D$37,IF(E41=7,'Skatteregler mm'!$D$30,IF(E41=70,'Skatteregler mm'!$D$36,0)))))))))))))))</f>
        <v>0</v>
      </c>
      <c r="F42" s="135"/>
      <c r="G42" s="137">
        <f ca="1">IF(B42=B40,E42,IF(B42=B41,SUM(Reseräkning!D45:D47),0))</f>
        <v>0</v>
      </c>
      <c r="H42" s="135"/>
      <c r="I42" s="136"/>
      <c r="J42" s="135"/>
      <c r="M42" s="3"/>
      <c r="O42" s="1"/>
      <c r="Q42" s="1"/>
    </row>
    <row r="43" spans="1:21" x14ac:dyDescent="0.25">
      <c r="A43" s="15" t="s">
        <v>6</v>
      </c>
      <c r="B43" s="149">
        <f>$E$11</f>
        <v>290</v>
      </c>
      <c r="C43" s="149">
        <f>J9</f>
        <v>0</v>
      </c>
      <c r="D43" t="b">
        <v>0</v>
      </c>
      <c r="E43" s="17" t="b">
        <f ca="1">IF($O$55=1,(IF($O$59=1,'Skatteregler mm'!D33,'Skatteregler mm'!D39)),IF($O$55=2,(IF($O$59=1,'Uträkningar mm'!J43,('Uträkningar mm'!J23/2)))))</f>
        <v>0</v>
      </c>
      <c r="F43" s="17">
        <f ca="1">IF($O$55=1,(IF($O$59=1,'Skatteregler mm'!#REF!,'Skatteregler mm'!#REF!)),0)</f>
        <v>0</v>
      </c>
      <c r="G43" s="17" t="e">
        <f>'Skatteregler mm'!#REF!</f>
        <v>#REF!</v>
      </c>
      <c r="H43" s="17" t="b">
        <v>0</v>
      </c>
      <c r="I43">
        <f>IF(D43,1,0)</f>
        <v>0</v>
      </c>
      <c r="J43" s="17" t="e">
        <f>$K$6*'Skatteregler mm'!$E$33</f>
        <v>#VALUE!</v>
      </c>
      <c r="M43" s="3" t="s">
        <v>4</v>
      </c>
      <c r="O43">
        <f ca="1">IF(U32&lt;3,0,IF(O44&gt;=O45,1,2))</f>
        <v>0</v>
      </c>
      <c r="P43" s="9">
        <f>P31+2</f>
        <v>2</v>
      </c>
      <c r="Q43" s="1"/>
      <c r="S43" s="1"/>
    </row>
    <row r="44" spans="1:21" x14ac:dyDescent="0.25">
      <c r="A44" s="11"/>
      <c r="B44" s="146"/>
      <c r="C44" s="146">
        <f>J8</f>
        <v>0</v>
      </c>
      <c r="D44" t="b">
        <v>0</v>
      </c>
      <c r="E44" s="17" t="b">
        <f ca="1">IF($O$55=1,(IF($O$59=1,'Skatteregler mm'!$D$32,'Skatteregler mm'!$D$38)),IF($O$55=2,(IF($O$59=1,'Uträkningar mm'!J44,('Uträkningar mm'!J44/2)))))</f>
        <v>0</v>
      </c>
      <c r="F44" s="17">
        <f ca="1">IF($O$55=1,(IF($O$59=1,'Skatteregler mm'!#REF!,'Skatteregler mm'!#REF!)),0)</f>
        <v>0</v>
      </c>
      <c r="G44" s="17" t="e">
        <f>'Skatteregler mm'!#REF!</f>
        <v>#REF!</v>
      </c>
      <c r="H44" s="17" t="b">
        <v>0</v>
      </c>
      <c r="I44">
        <f>IF(D44,2,0)</f>
        <v>0</v>
      </c>
      <c r="J44" s="17" t="e">
        <f>$K$6*'Skatteregler mm'!$E$32</f>
        <v>#VALUE!</v>
      </c>
      <c r="M44" t="s">
        <v>171</v>
      </c>
      <c r="O44" s="5">
        <f ca="1">(IF(P43&lt;$R$28,0.75,(IF(P43&gt;$R$30,0.75,IF((P43=$R$27)*AND($R$28=P43),$V$27,(IF((P43=$R$30)*AND($R$30=$R$29),$V$31,0)))))))</f>
        <v>0.75</v>
      </c>
      <c r="Q44" s="1"/>
      <c r="R44" s="142"/>
      <c r="S44" s="142"/>
      <c r="T44" s="142"/>
      <c r="U44" s="142"/>
    </row>
    <row r="45" spans="1:21" x14ac:dyDescent="0.25">
      <c r="A45" s="11" t="s">
        <v>197</v>
      </c>
      <c r="B45" s="146">
        <f ca="1">IF(O55=1,$O$59*B43,0)</f>
        <v>0</v>
      </c>
      <c r="C45" s="146">
        <f ca="1">IF($O$59=0.5,C43,C44)</f>
        <v>0</v>
      </c>
      <c r="D45" t="b">
        <v>0</v>
      </c>
      <c r="E45" s="17" t="b">
        <f ca="1">IF($O$55=1,(IF($O$59=1,'Skatteregler mm'!$D$32,'Skatteregler mm'!$D$38)),IF($O$55=2,(IF($O$59=1,'Uträkningar mm'!J45,('Uträkningar mm'!J45/2)))))</f>
        <v>0</v>
      </c>
      <c r="F45" s="17">
        <f ca="1">IF($O$55=1,(IF($O$59=1,'Skatteregler mm'!#REF!,'Skatteregler mm'!#REF!)),0)</f>
        <v>0</v>
      </c>
      <c r="G45" s="17" t="e">
        <f>'Skatteregler mm'!#REF!</f>
        <v>#REF!</v>
      </c>
      <c r="H45" s="17" t="b">
        <v>0</v>
      </c>
      <c r="I45">
        <f>IF(D45,4,0)</f>
        <v>0</v>
      </c>
      <c r="J45" s="17" t="e">
        <f>$K$6*'Skatteregler mm'!$E$32</f>
        <v>#VALUE!</v>
      </c>
      <c r="M45" s="3" t="s">
        <v>173</v>
      </c>
      <c r="O45" s="5">
        <f ca="1">(IF((P43=$R$27)*AND($R$28=P43),$V$28,(IF((P43=$R$30)*AND($R$30=$R$29),$V$30,(IF((P43&gt;$R$28)*AND(P43&lt;$R$30),0.75,(IF(P43&lt;$R$30,0.75,0))))))))</f>
        <v>0.75</v>
      </c>
      <c r="Q45" s="1"/>
      <c r="R45" s="142"/>
      <c r="S45" s="142"/>
      <c r="T45" s="143"/>
      <c r="U45" s="142"/>
    </row>
    <row r="46" spans="1:21" x14ac:dyDescent="0.25">
      <c r="A46" s="11" t="s">
        <v>170</v>
      </c>
      <c r="B46" s="146">
        <f ca="1">K11</f>
        <v>0</v>
      </c>
      <c r="C46" s="146"/>
      <c r="D46">
        <f ca="1">IF($O$55=1,IF($O$59=1,1,IF($O$59=0.5,10,0)),0)</f>
        <v>0</v>
      </c>
      <c r="E46" s="147">
        <f ca="1">D46*I46</f>
        <v>0</v>
      </c>
      <c r="F46" s="17"/>
      <c r="G46" s="17"/>
      <c r="H46" s="17"/>
      <c r="I46">
        <f>SUM(I43:I45)</f>
        <v>0</v>
      </c>
      <c r="J46" s="17"/>
      <c r="M46" s="3" t="s">
        <v>187</v>
      </c>
      <c r="O46" s="6">
        <f ca="1">IF($R$28-$R$27=2,($T$28-$T$27),IF($R$28-$R$27=1,(1-$T$27)+$S$29,0))</f>
        <v>0</v>
      </c>
      <c r="Q46" s="1"/>
      <c r="R46" s="142"/>
      <c r="S46" s="142"/>
      <c r="T46" s="143"/>
      <c r="U46" s="142"/>
    </row>
    <row r="47" spans="1:21" ht="13" thickBot="1" x14ac:dyDescent="0.3">
      <c r="A47" s="16" t="s">
        <v>196</v>
      </c>
      <c r="B47" s="37" t="str">
        <f ca="1">IF(O55=1,B45,IF(O55=2,B46," "))</f>
        <v xml:space="preserve"> </v>
      </c>
      <c r="C47" s="37" t="str">
        <f ca="1">IF(O55=1,C45,IF(O55=2," "," "))</f>
        <v xml:space="preserve"> </v>
      </c>
      <c r="D47" s="148" t="s">
        <v>312</v>
      </c>
      <c r="E47" s="137">
        <f ca="1">-1*IF(E46=0,0,IF(E46=1,'Skatteregler mm'!$D$33,IF(E46=10,'Skatteregler mm'!$D$39,IF(E46=2,'Skatteregler mm'!$D$32,IF(E46=20,'Skatteregler mm'!$D$38,IF(E46=3,'Skatteregler mm'!$D$33+'Skatteregler mm'!$D$32,IF(E46=30,'Skatteregler mm'!$D$39+'Skatteregler mm'!$D$38,IF(E46=4,'Skatteregler mm'!$D$32,IF(E46=40,'Skatteregler mm'!$D$38,IF(E46=5,'Skatteregler mm'!$D$33+'Skatteregler mm'!$D$32,IF(E46=50,'Skatteregler mm'!$D$39+'Skatteregler mm'!$D$38,IF(E46=6,'Skatteregler mm'!$D$31,IF(E46=60,'Skatteregler mm'!$D$37,IF(E46=7,'Skatteregler mm'!$D$30,IF(E46=70,'Skatteregler mm'!$D$36,0)))))))))))))))</f>
        <v>0</v>
      </c>
      <c r="F47" s="135"/>
      <c r="G47" s="137">
        <f ca="1">IF(B47=B45,E47,IF(B47=B46,SUM(Reseräkning!D51:D53),0))</f>
        <v>0</v>
      </c>
      <c r="H47" s="135"/>
      <c r="I47" s="136"/>
      <c r="J47" s="135"/>
      <c r="M47" s="3" t="s">
        <v>185</v>
      </c>
      <c r="O47" s="1">
        <f ca="1">IF(R31-R26&gt;2,1,IF(R31-R26=2,IF(T31&gt;TIMEVALUE("19:00:59"),1,0.5),0))</f>
        <v>0</v>
      </c>
      <c r="Q47" s="1"/>
      <c r="R47" s="142"/>
      <c r="S47" s="142"/>
      <c r="T47" s="143"/>
      <c r="U47" s="142"/>
    </row>
    <row r="48" spans="1:21" x14ac:dyDescent="0.25">
      <c r="A48" s="15" t="s">
        <v>181</v>
      </c>
      <c r="B48" s="149">
        <f>$E$11</f>
        <v>290</v>
      </c>
      <c r="C48" s="149">
        <f>J9</f>
        <v>0</v>
      </c>
      <c r="D48" t="b">
        <v>0</v>
      </c>
      <c r="E48" s="17" t="b">
        <f ca="1">IF($O$61=1,(IF($O$65=1,'Skatteregler mm'!D33,'Skatteregler mm'!D39)),IF($O$61=2,(IF($O$65,'Uträkningar mm'!J23,('Uträkningar mm'!J48/2)))))</f>
        <v>0</v>
      </c>
      <c r="F48" s="17">
        <f ca="1">IF($O$61=1,(IF($O$65=1,'Skatteregler mm'!#REF!,'Skatteregler mm'!#REF!)),0)</f>
        <v>0</v>
      </c>
      <c r="G48" s="17" t="e">
        <f>'Skatteregler mm'!#REF!</f>
        <v>#REF!</v>
      </c>
      <c r="H48" s="17" t="b">
        <v>0</v>
      </c>
      <c r="I48">
        <f>IF(D48,1,0)</f>
        <v>0</v>
      </c>
      <c r="J48" s="17" t="e">
        <f>$K$6*'Skatteregler mm'!$E$33</f>
        <v>#VALUE!</v>
      </c>
      <c r="M48" s="3"/>
      <c r="O48" s="1"/>
      <c r="Q48" s="1"/>
      <c r="R48" s="142"/>
      <c r="S48" s="144"/>
      <c r="T48" s="142"/>
      <c r="U48" s="142"/>
    </row>
    <row r="49" spans="1:21" x14ac:dyDescent="0.25">
      <c r="A49" s="11"/>
      <c r="B49" s="146"/>
      <c r="C49" s="146">
        <f>J8</f>
        <v>0</v>
      </c>
      <c r="D49" t="b">
        <v>0</v>
      </c>
      <c r="E49" s="17" t="b">
        <f ca="1">IF($O$61=1,(IF($O$65=1,'Skatteregler mm'!$D$32,'Skatteregler mm'!$D$38)),IF($O$61=2,(IF($O$65=1,'Uträkningar mm'!J49,('Uträkningar mm'!J49/2)))))</f>
        <v>0</v>
      </c>
      <c r="F49" s="17">
        <f ca="1">IF($O$61=1,(IF($O$65=1,'Skatteregler mm'!#REF!,'Skatteregler mm'!#REF!)),0)</f>
        <v>0</v>
      </c>
      <c r="G49" s="17" t="e">
        <f>'Skatteregler mm'!#REF!</f>
        <v>#REF!</v>
      </c>
      <c r="H49" s="17" t="b">
        <v>0</v>
      </c>
      <c r="I49">
        <f>IF(D49,2,0)</f>
        <v>0</v>
      </c>
      <c r="J49" s="17" t="e">
        <f>$K$6*'Skatteregler mm'!$E$32</f>
        <v>#VALUE!</v>
      </c>
      <c r="M49" s="3" t="s">
        <v>5</v>
      </c>
      <c r="O49">
        <f ca="1">IF(U32&lt;4,0,IF(O50&gt;=O51,1,2))</f>
        <v>0</v>
      </c>
      <c r="P49" s="9">
        <f>P31+3</f>
        <v>3</v>
      </c>
      <c r="Q49" s="1"/>
      <c r="R49" s="142"/>
      <c r="S49" s="142"/>
      <c r="T49" s="142"/>
      <c r="U49" s="142"/>
    </row>
    <row r="50" spans="1:21" x14ac:dyDescent="0.25">
      <c r="A50" s="11" t="s">
        <v>197</v>
      </c>
      <c r="B50" s="146">
        <f ca="1">IF($O$61=1,$O$65*B48,0)</f>
        <v>0</v>
      </c>
      <c r="C50" s="146">
        <f ca="1">IF($O$65=0.5,C48,C49)</f>
        <v>0</v>
      </c>
      <c r="D50" t="b">
        <v>0</v>
      </c>
      <c r="E50" s="17" t="b">
        <f ca="1">IF($O$61=1,(IF($O$65=1,'Skatteregler mm'!$D$32,'Skatteregler mm'!$D$38)),IF($O$61=2,(IF($O$65=1,'Uträkningar mm'!J50,('Uträkningar mm'!J50/2)))))</f>
        <v>0</v>
      </c>
      <c r="F50" s="17">
        <f ca="1">IF($O$61=1,(IF($O$65=1,'Skatteregler mm'!#REF!,'Skatteregler mm'!#REF!)),0)</f>
        <v>0</v>
      </c>
      <c r="G50" s="17" t="e">
        <f>'Skatteregler mm'!#REF!</f>
        <v>#REF!</v>
      </c>
      <c r="H50" s="17" t="b">
        <v>0</v>
      </c>
      <c r="I50">
        <f>IF(D50,4,0)</f>
        <v>0</v>
      </c>
      <c r="J50" s="17" t="e">
        <f>$K$6*'Skatteregler mm'!$E$32</f>
        <v>#VALUE!</v>
      </c>
      <c r="M50" t="s">
        <v>171</v>
      </c>
      <c r="O50" s="5">
        <f ca="1">(IF(P49&lt;$R$28,0.75,(IF(P49&gt;$R$30,0.75,IF((P49=$R$27)*AND($R$28=P49),$V$27,(IF((P49=$R$30)*AND($R$30=$R$29),$V$31,0)))))))</f>
        <v>0.75</v>
      </c>
      <c r="Q50" s="1"/>
      <c r="R50" s="142"/>
      <c r="S50" s="142"/>
      <c r="T50" s="142"/>
      <c r="U50" s="142"/>
    </row>
    <row r="51" spans="1:21" x14ac:dyDescent="0.25">
      <c r="A51" s="11" t="s">
        <v>199</v>
      </c>
      <c r="B51" s="146">
        <f ca="1">K12</f>
        <v>0</v>
      </c>
      <c r="C51" s="146"/>
      <c r="D51">
        <f ca="1">IF($O$61=1,IF($O$65=1,1,IF($O$65=0.5,10,0)),0)</f>
        <v>0</v>
      </c>
      <c r="E51" s="147">
        <f ca="1">D51*I51</f>
        <v>0</v>
      </c>
      <c r="F51" s="17"/>
      <c r="G51" s="17"/>
      <c r="H51" s="17"/>
      <c r="I51">
        <f>SUM(I48:I50)</f>
        <v>0</v>
      </c>
      <c r="J51" s="17"/>
      <c r="M51" s="3" t="s">
        <v>173</v>
      </c>
      <c r="O51" s="5">
        <f ca="1">(IF((P49=$R$27)*AND($R$28=P49),$V$28,(IF((P49=$R$30)*AND($R$30=$R$29),$V$30,(IF((P49&gt;$R$28)*AND(P49&lt;$R$30),0.75,(IF(P49&lt;$R$30,0.75,0))))))))</f>
        <v>0.75</v>
      </c>
      <c r="Q51" s="1"/>
      <c r="R51" s="142"/>
      <c r="S51" s="142"/>
      <c r="T51" s="142"/>
      <c r="U51" s="142"/>
    </row>
    <row r="52" spans="1:21" ht="13" thickBot="1" x14ac:dyDescent="0.3">
      <c r="A52" s="16" t="s">
        <v>196</v>
      </c>
      <c r="B52" s="37" t="str">
        <f ca="1">IF(O61=1,B50,IF(O61=2,B51," "))</f>
        <v xml:space="preserve"> </v>
      </c>
      <c r="C52" s="37" t="str">
        <f ca="1">IF(O61=1,C50,IF(O61=2," "," "))</f>
        <v xml:space="preserve"> </v>
      </c>
      <c r="D52" s="148" t="s">
        <v>312</v>
      </c>
      <c r="E52" s="137">
        <f ca="1">-1*IF(E51=0,0,IF(E51=1,'Skatteregler mm'!$D$33,IF(E51=10,'Skatteregler mm'!$D$39,IF(E51=2,'Skatteregler mm'!$D$32,IF(E51=20,'Skatteregler mm'!$D$38,IF(E51=3,'Skatteregler mm'!$D$33+'Skatteregler mm'!$D$32,IF(E51=30,'Skatteregler mm'!$D$39+'Skatteregler mm'!$D$38,IF(E51=4,'Skatteregler mm'!$D$32,IF(E51=40,'Skatteregler mm'!$D$38,IF(E51=5,'Skatteregler mm'!$D$33+'Skatteregler mm'!$D$32,IF(E51=50,'Skatteregler mm'!$D$39+'Skatteregler mm'!$D$38,IF(E51=6,'Skatteregler mm'!$D$31,IF(E51=60,'Skatteregler mm'!$D$37,IF(E51=7,'Skatteregler mm'!$D$30,IF(E51=70,'Skatteregler mm'!$D$36,0)))))))))))))))</f>
        <v>0</v>
      </c>
      <c r="F52" s="135"/>
      <c r="G52" s="137">
        <f ca="1">IF(B52=B50,E52,IF(B52=B51,SUM(Reseräkning!D66:D68),0))</f>
        <v>0</v>
      </c>
      <c r="H52" s="135"/>
      <c r="I52" s="136"/>
      <c r="J52" s="135"/>
      <c r="M52" s="3" t="s">
        <v>187</v>
      </c>
      <c r="O52" s="6">
        <f ca="1">IF($R$28-$R$27=3,($T$28-$T$27),IF($R$28-$R$27=1,(1-$T$27)+$S$29,0))</f>
        <v>0</v>
      </c>
      <c r="P52" t="s">
        <v>202</v>
      </c>
      <c r="Q52" s="1"/>
    </row>
    <row r="53" spans="1:21" x14ac:dyDescent="0.25">
      <c r="A53" s="15" t="s">
        <v>180</v>
      </c>
      <c r="B53" s="149">
        <f>$E$11</f>
        <v>290</v>
      </c>
      <c r="C53" s="149">
        <f>J9</f>
        <v>0</v>
      </c>
      <c r="D53" t="b">
        <v>0</v>
      </c>
      <c r="E53" s="17" t="b">
        <f ca="1">IF($O$67=1,(IF($O$71=1,'Skatteregler mm'!D33,'Skatteregler mm'!D39)),IF($O$67=2,(IF($O$71=1,'Uträkningar mm'!J53,('Uträkningar mm'!J53/2)))))</f>
        <v>0</v>
      </c>
      <c r="F53" s="17">
        <f ca="1">IF($O$67=1,(IF($O$71=1,'Skatteregler mm'!#REF!,'Skatteregler mm'!#REF!)),0)</f>
        <v>0</v>
      </c>
      <c r="G53" s="17" t="e">
        <f>'Skatteregler mm'!#REF!</f>
        <v>#REF!</v>
      </c>
      <c r="H53" s="17" t="b">
        <v>0</v>
      </c>
      <c r="I53">
        <f>IF(D53,1,0)</f>
        <v>0</v>
      </c>
      <c r="J53" s="17" t="e">
        <f>$K$6*'Skatteregler mm'!$E$33</f>
        <v>#VALUE!</v>
      </c>
      <c r="M53" s="3" t="s">
        <v>186</v>
      </c>
      <c r="O53" s="1">
        <f ca="1">IF(R31-R26&gt;3,1,IF(R31-R26=3,IF(T31&gt;TIMEVALUE("19:00:59"),1,0.5),0))</f>
        <v>0</v>
      </c>
      <c r="Q53" s="1"/>
    </row>
    <row r="54" spans="1:21" x14ac:dyDescent="0.25">
      <c r="A54" s="11"/>
      <c r="B54" s="146"/>
      <c r="C54" s="146">
        <f>J8</f>
        <v>0</v>
      </c>
      <c r="D54" t="b">
        <v>0</v>
      </c>
      <c r="E54" s="17" t="b">
        <f ca="1">IF($O$67=1,(IF($O$71=1,'Skatteregler mm'!$D$32,'Skatteregler mm'!$D$38)),IF($O$67=2,(IF($O$71=1,'Uträkningar mm'!J54,('Uträkningar mm'!J54/2)))))</f>
        <v>0</v>
      </c>
      <c r="F54" s="17">
        <f ca="1">IF($O$67=1,(IF($O$71=1,'Skatteregler mm'!#REF!,'Skatteregler mm'!#REF!)),0)</f>
        <v>0</v>
      </c>
      <c r="G54" s="17" t="e">
        <f>'Skatteregler mm'!#REF!</f>
        <v>#REF!</v>
      </c>
      <c r="H54" s="17" t="b">
        <v>0</v>
      </c>
      <c r="I54">
        <f>IF(D54,2,0)</f>
        <v>0</v>
      </c>
      <c r="J54" s="17" t="e">
        <f>$K$6*'Skatteregler mm'!$E$32</f>
        <v>#VALUE!</v>
      </c>
      <c r="M54" s="3"/>
      <c r="O54" s="1"/>
      <c r="Q54" s="1"/>
    </row>
    <row r="55" spans="1:21" x14ac:dyDescent="0.25">
      <c r="A55" s="11" t="s">
        <v>198</v>
      </c>
      <c r="B55" s="146">
        <f ca="1">IF($O$67=1,$O$71*B53,0)</f>
        <v>0</v>
      </c>
      <c r="C55" s="146">
        <f ca="1">IF($O$71=0.5,C53,C54)</f>
        <v>0</v>
      </c>
      <c r="D55" t="b">
        <v>0</v>
      </c>
      <c r="E55" s="17" t="b">
        <f ca="1">IF($O$67=1,(IF($O$71=1,'Skatteregler mm'!$D$32,'Skatteregler mm'!$D$38)),IF($O$67=2,(IF($O$71=1,'Uträkningar mm'!J55,('Uträkningar mm'!J55/2)))))</f>
        <v>0</v>
      </c>
      <c r="F55" s="17">
        <f ca="1">IF($O$67=1,(IF($O$71=1,'Skatteregler mm'!#REF!,'Skatteregler mm'!#REF!)),0)</f>
        <v>0</v>
      </c>
      <c r="G55" s="17" t="e">
        <f>'Skatteregler mm'!#REF!</f>
        <v>#REF!</v>
      </c>
      <c r="H55" s="17" t="b">
        <v>0</v>
      </c>
      <c r="I55">
        <f>IF(D55,4,0)</f>
        <v>0</v>
      </c>
      <c r="J55" s="17" t="e">
        <f>$K$6*'Skatteregler mm'!$E$32</f>
        <v>#VALUE!</v>
      </c>
      <c r="M55" s="3" t="s">
        <v>6</v>
      </c>
      <c r="O55">
        <f ca="1">IF(U32&lt;5,0,IF(O56&gt;=O57,1,2))</f>
        <v>0</v>
      </c>
      <c r="P55" s="9">
        <f>P31+4</f>
        <v>4</v>
      </c>
      <c r="Q55" s="1"/>
    </row>
    <row r="56" spans="1:21" x14ac:dyDescent="0.25">
      <c r="A56" s="11" t="s">
        <v>170</v>
      </c>
      <c r="B56" s="146">
        <f ca="1">K13</f>
        <v>0</v>
      </c>
      <c r="C56" s="146"/>
      <c r="D56">
        <f ca="1">IF($O$67=1,IF($O$71=1,1,IF($O$71=0.5,10,0)),0)</f>
        <v>0</v>
      </c>
      <c r="E56" s="147">
        <f ca="1">D56*I56</f>
        <v>0</v>
      </c>
      <c r="F56" s="17"/>
      <c r="G56" s="17"/>
      <c r="H56" s="17"/>
      <c r="I56">
        <f>SUM(I53:I55)</f>
        <v>0</v>
      </c>
      <c r="J56" s="17"/>
      <c r="M56" t="s">
        <v>171</v>
      </c>
      <c r="O56" s="5">
        <f ca="1">(IF(P55&lt;$R$28,0.75,(IF(P55&gt;$R$30,0.75,IF((P55=$R$27)*AND($R$28=P55),$V$27,(IF((P55=$R$30)*AND($R$30=$R$29),$V$31,0)))))))</f>
        <v>0.75</v>
      </c>
      <c r="Q56" s="1"/>
    </row>
    <row r="57" spans="1:21" ht="13" thickBot="1" x14ac:dyDescent="0.3">
      <c r="A57" s="16" t="s">
        <v>196</v>
      </c>
      <c r="B57" s="37" t="str">
        <f ca="1">IF(O67=1,B55,IF(O67=2,B56," "))</f>
        <v xml:space="preserve"> </v>
      </c>
      <c r="C57" s="37" t="str">
        <f ca="1">IF(O67=1,C55,IF(O67=2," "," "))</f>
        <v xml:space="preserve"> </v>
      </c>
      <c r="D57" s="148" t="s">
        <v>312</v>
      </c>
      <c r="E57" s="137">
        <f ca="1">-1*IF(E56=0,0,IF(E56=1,'Skatteregler mm'!$D$33,IF(E56=10,'Skatteregler mm'!$D$39,IF(E56=2,'Skatteregler mm'!$D$32,IF(E56=20,'Skatteregler mm'!$D$38,IF(E56=3,'Skatteregler mm'!$D$33+'Skatteregler mm'!$D$32,IF(E56=30,'Skatteregler mm'!$D$39+'Skatteregler mm'!$D$38,IF(E56=4,'Skatteregler mm'!$D$32,IF(E56=40,'Skatteregler mm'!$D$38,IF(E56=5,'Skatteregler mm'!$D$33+'Skatteregler mm'!$D$32,IF(E56=50,'Skatteregler mm'!$D$39+'Skatteregler mm'!$D$38,IF(E56=6,'Skatteregler mm'!$D$31,IF(E56=60,'Skatteregler mm'!$D$37,IF(E56=7,'Skatteregler mm'!$D$30,IF(E56=70,'Skatteregler mm'!$D$36,0)))))))))))))))</f>
        <v>0</v>
      </c>
      <c r="F57" s="135"/>
      <c r="G57" s="137">
        <f ca="1">IF(B57=B55,E57,IF(B57=B56,SUM(Reseräkning!D72:D74),0))</f>
        <v>0</v>
      </c>
      <c r="H57" s="135"/>
      <c r="I57" s="136"/>
      <c r="J57" s="135"/>
      <c r="M57" s="3" t="s">
        <v>173</v>
      </c>
      <c r="O57" s="5">
        <f ca="1">(IF((P55=$R$27)*AND($R$28=P55),$V$28,(IF((P55=$R$30)*AND($R$30=$R$29),$V$30,(IF((P55&gt;$R$28)*AND(P55&lt;$R$30),0.75,(IF(P55&lt;$R$30,0.75,0))))))))</f>
        <v>0.75</v>
      </c>
      <c r="Q57" s="1"/>
    </row>
    <row r="58" spans="1:21" x14ac:dyDescent="0.25">
      <c r="A58" s="15" t="s">
        <v>219</v>
      </c>
      <c r="B58" s="149">
        <f>$E$11</f>
        <v>290</v>
      </c>
      <c r="C58" s="149">
        <f>J9</f>
        <v>0</v>
      </c>
      <c r="D58" t="b">
        <v>0</v>
      </c>
      <c r="E58" s="17" t="b">
        <f ca="1">IF($O$73=1,(IF($O$77=1,'Skatteregler mm'!D33,'Skatteregler mm'!D39)),IF($O$73=2,(IF($O$77=1,'Uträkningar mm'!J58,('Uträkningar mm'!J58/2)))))</f>
        <v>0</v>
      </c>
      <c r="F58" s="17">
        <f ca="1">IF($O$73=1,(IF($O$77=1,'Skatteregler mm'!#REF!,'Skatteregler mm'!#REF!)),0)</f>
        <v>0</v>
      </c>
      <c r="G58" s="17" t="e">
        <f>'Skatteregler mm'!#REF!</f>
        <v>#REF!</v>
      </c>
      <c r="H58" s="17" t="b">
        <v>0</v>
      </c>
      <c r="I58">
        <f>IF(D58,1,0)</f>
        <v>0</v>
      </c>
      <c r="J58" s="17" t="e">
        <f>$K$6*'Skatteregler mm'!$E$33</f>
        <v>#VALUE!</v>
      </c>
      <c r="M58" s="3" t="s">
        <v>187</v>
      </c>
      <c r="O58" s="6">
        <f ca="1">IF($R$27=$R$28,($T$28-$T$27),IF($R$28-$R$27=1,(1-$T$27)+$S$29))</f>
        <v>0</v>
      </c>
      <c r="P58" t="s">
        <v>202</v>
      </c>
      <c r="Q58" s="1"/>
    </row>
    <row r="59" spans="1:21" x14ac:dyDescent="0.25">
      <c r="A59" s="11"/>
      <c r="B59" s="146"/>
      <c r="C59" s="146">
        <f>J8</f>
        <v>0</v>
      </c>
      <c r="D59" t="b">
        <v>0</v>
      </c>
      <c r="E59" s="17" t="b">
        <f ca="1">IF($O$73=1,(IF($O$77=1,'Skatteregler mm'!$D$32,'Skatteregler mm'!$D$38)),IF($O$73=2,(IF($O$77=1,'Uträkningar mm'!J59,('Uträkningar mm'!J59/2)))))</f>
        <v>0</v>
      </c>
      <c r="F59" s="17">
        <f ca="1">IF($O$73=1,(IF($O$77=1,'Skatteregler mm'!#REF!,'Skatteregler mm'!#REF!)),0)</f>
        <v>0</v>
      </c>
      <c r="G59" s="17" t="e">
        <f>'Skatteregler mm'!#REF!</f>
        <v>#REF!</v>
      </c>
      <c r="H59" s="17" t="b">
        <v>0</v>
      </c>
      <c r="I59">
        <f>IF(D59,2,0)</f>
        <v>0</v>
      </c>
      <c r="J59" s="17" t="e">
        <f>$K$6*'Skatteregler mm'!$E$32</f>
        <v>#VALUE!</v>
      </c>
      <c r="M59" s="3" t="s">
        <v>185</v>
      </c>
      <c r="O59" s="1">
        <f ca="1">IF(R31-R26&gt;4,1,IF(R31-R26=4,IF(T31&gt;TIMEVALUE("19:00:59"),1,0.5),0))</f>
        <v>0</v>
      </c>
      <c r="Q59" s="1"/>
    </row>
    <row r="60" spans="1:21" x14ac:dyDescent="0.25">
      <c r="A60" s="11" t="s">
        <v>198</v>
      </c>
      <c r="B60" s="146">
        <f ca="1">IF($O$73=1,$O$77*B58,0)</f>
        <v>0</v>
      </c>
      <c r="C60" s="146">
        <f ca="1">IF($O$77=0.5,C58,C59)</f>
        <v>0</v>
      </c>
      <c r="D60" t="b">
        <v>0</v>
      </c>
      <c r="E60" s="17" t="b">
        <f ca="1">IF($O$73=1,(IF($O$77=1,'Skatteregler mm'!$D$32,'Skatteregler mm'!$D$38)),IF($O$73=2,(IF($O$77=1,'Uträkningar mm'!J60,('Uträkningar mm'!J60/2)))))</f>
        <v>0</v>
      </c>
      <c r="F60" s="17">
        <f ca="1">IF($O$73=1,(IF($O$77=1,'Skatteregler mm'!#REF!,'Skatteregler mm'!#REF!)),0)</f>
        <v>0</v>
      </c>
      <c r="G60" s="17" t="e">
        <f>'Skatteregler mm'!#REF!</f>
        <v>#REF!</v>
      </c>
      <c r="H60" s="17" t="b">
        <v>0</v>
      </c>
      <c r="I60">
        <f>IF(D60,4,0)</f>
        <v>0</v>
      </c>
      <c r="J60" s="17" t="e">
        <f>$K$6*'Skatteregler mm'!$E$32</f>
        <v>#VALUE!</v>
      </c>
      <c r="M60" s="3"/>
      <c r="O60" s="1"/>
      <c r="Q60" s="1"/>
    </row>
    <row r="61" spans="1:21" x14ac:dyDescent="0.25">
      <c r="A61" s="11" t="s">
        <v>170</v>
      </c>
      <c r="B61" s="146">
        <f ca="1">K14</f>
        <v>0</v>
      </c>
      <c r="C61" s="146"/>
      <c r="D61">
        <f ca="1">IF($O$73=1,IF($O$77=1,1,IF($O$77=0.5,10,0)),0)</f>
        <v>0</v>
      </c>
      <c r="E61" s="147">
        <f ca="1">D61*I61</f>
        <v>0</v>
      </c>
      <c r="F61" s="17"/>
      <c r="G61" s="17"/>
      <c r="H61" s="17"/>
      <c r="I61">
        <f>SUM(I58:I60)</f>
        <v>0</v>
      </c>
      <c r="J61" s="17"/>
      <c r="M61" s="3" t="s">
        <v>181</v>
      </c>
      <c r="O61">
        <f ca="1">IF(U32&lt;6,0,IF(O62&gt;=O63,1,2))</f>
        <v>0</v>
      </c>
      <c r="P61" s="9">
        <f>P31+5</f>
        <v>5</v>
      </c>
      <c r="Q61" s="1"/>
    </row>
    <row r="62" spans="1:21" ht="13" thickBot="1" x14ac:dyDescent="0.3">
      <c r="A62" s="16" t="s">
        <v>196</v>
      </c>
      <c r="B62" s="37" t="str">
        <f ca="1">IF(O73=1,B60,IF(O73=2,B61," "))</f>
        <v xml:space="preserve"> </v>
      </c>
      <c r="C62" s="37" t="str">
        <f ca="1">IF(O73=1,C60,IF(O73=2," "," "))</f>
        <v xml:space="preserve"> </v>
      </c>
      <c r="D62" s="148" t="s">
        <v>312</v>
      </c>
      <c r="E62" s="137">
        <f ca="1">-1*IF(E61=0,0,IF(E61=1,'Skatteregler mm'!$D$33,IF(E61=10,'Skatteregler mm'!$D$39,IF(E61=2,'Skatteregler mm'!$D$32,IF(E61=20,'Skatteregler mm'!$D$38,IF(E61=3,'Skatteregler mm'!$D$33+'Skatteregler mm'!$D$32,IF(E61=30,'Skatteregler mm'!$D$39+'Skatteregler mm'!$D$38,IF(E61=4,'Skatteregler mm'!$D$32,IF(E61=40,'Skatteregler mm'!$D$38,IF(E61=5,'Skatteregler mm'!$D$33+'Skatteregler mm'!$D$32,IF(E61=50,'Skatteregler mm'!$D$39+'Skatteregler mm'!$D$38,IF(E61=6,'Skatteregler mm'!$D$31,IF(E61=60,'Skatteregler mm'!$D$37,IF(E61=7,'Skatteregler mm'!$D$30,IF(E61=70,'Skatteregler mm'!$D$36,0)))))))))))))))</f>
        <v>0</v>
      </c>
      <c r="F62" s="135"/>
      <c r="G62" s="137">
        <f ca="1">IF(B62=B60,E62,IF(B62=B61,SUM(Reseräkning!D78:D80),0))</f>
        <v>0</v>
      </c>
      <c r="H62" s="135"/>
      <c r="I62" s="136"/>
      <c r="J62" s="135"/>
      <c r="M62" t="s">
        <v>171</v>
      </c>
      <c r="O62" s="5">
        <f ca="1">(IF(P61&lt;$R$28,0.75,(IF(P61&gt;$R$30,0.75,IF((P61=$R$27)*AND($R$28=P61),$V$27,(IF((P61=$R$30)*AND($R$30=$R$29),$V$31,0)))))))</f>
        <v>0.75</v>
      </c>
      <c r="Q62" s="1"/>
    </row>
    <row r="63" spans="1:21" x14ac:dyDescent="0.25">
      <c r="A63" s="15" t="s">
        <v>220</v>
      </c>
      <c r="B63" s="149">
        <f>$E$11</f>
        <v>290</v>
      </c>
      <c r="C63" s="149">
        <f>J9</f>
        <v>0</v>
      </c>
      <c r="D63" t="b">
        <v>0</v>
      </c>
      <c r="E63" s="17" t="b">
        <f ca="1">IF($O$79=1,(IF($O$83=1,'Skatteregler mm'!D33,'Skatteregler mm'!D39)),IF($O$79=2,(IF($O$83=1,'Uträkningar mm'!J63,('Uträkningar mm'!J63/2)))))</f>
        <v>0</v>
      </c>
      <c r="F63" s="17">
        <f ca="1">IF($O$79=1,(IF($O$83=1,'Skatteregler mm'!#REF!,'Skatteregler mm'!#REF!)),0)</f>
        <v>0</v>
      </c>
      <c r="G63" s="17" t="e">
        <f>'Skatteregler mm'!#REF!</f>
        <v>#REF!</v>
      </c>
      <c r="H63" s="17" t="b">
        <v>0</v>
      </c>
      <c r="I63">
        <f>IF(D63,1,0)</f>
        <v>0</v>
      </c>
      <c r="J63" s="17" t="e">
        <f>$K$6*'Skatteregler mm'!$E$33</f>
        <v>#VALUE!</v>
      </c>
      <c r="M63" s="3" t="s">
        <v>173</v>
      </c>
      <c r="O63" s="5">
        <f ca="1">(IF((P61=$R$27)*AND($R$28=P61),$V$28,(IF((P61=$R$30)*AND($R$30=$R$29),$V$30,(IF((P61&gt;$R$28)*AND(P61&lt;$R$30),0.75,(IF(P61&lt;$R$30,0.75,0))))))))</f>
        <v>0.75</v>
      </c>
      <c r="Q63" s="1"/>
    </row>
    <row r="64" spans="1:21" x14ac:dyDescent="0.25">
      <c r="A64" s="11"/>
      <c r="B64" s="146"/>
      <c r="C64" s="146">
        <f>J8</f>
        <v>0</v>
      </c>
      <c r="D64" t="b">
        <v>0</v>
      </c>
      <c r="E64" s="17" t="b">
        <f ca="1">IF($O$79=1,(IF($O$83=1,'Skatteregler mm'!$D$32,'Skatteregler mm'!$D$38)),IF($O$79=2,(IF($O$83=1,'Uträkningar mm'!J64,('Uträkningar mm'!J64/2)))))</f>
        <v>0</v>
      </c>
      <c r="F64" s="17">
        <f ca="1">IF($O$79=1,(IF($O$83=1,'Skatteregler mm'!#REF!,'Skatteregler mm'!#REF!)),0)</f>
        <v>0</v>
      </c>
      <c r="G64" s="17" t="e">
        <f>'Skatteregler mm'!#REF!</f>
        <v>#REF!</v>
      </c>
      <c r="H64" s="17" t="b">
        <v>0</v>
      </c>
      <c r="I64">
        <f>IF(D64,2,0)</f>
        <v>0</v>
      </c>
      <c r="J64" s="17" t="e">
        <f>$K$6*'Skatteregler mm'!$E$32</f>
        <v>#VALUE!</v>
      </c>
      <c r="M64" s="3" t="s">
        <v>187</v>
      </c>
      <c r="O64" s="6">
        <f ca="1">IF($R$27=$R$28,($T$28-$T$27),IF($R$28-$R$27=1,(1-$T$27)+$S$29))</f>
        <v>0</v>
      </c>
      <c r="P64" t="s">
        <v>202</v>
      </c>
      <c r="Q64" s="1"/>
    </row>
    <row r="65" spans="1:17" x14ac:dyDescent="0.25">
      <c r="A65" s="11" t="s">
        <v>198</v>
      </c>
      <c r="B65" s="146">
        <f ca="1">IF($O$79=1,$O$83*B63,0)</f>
        <v>0</v>
      </c>
      <c r="C65" s="146">
        <f ca="1">IF($O$83=0.5,C63,C64)</f>
        <v>0</v>
      </c>
      <c r="D65" t="b">
        <v>0</v>
      </c>
      <c r="E65" s="17" t="b">
        <f ca="1">IF($O$79=1,(IF($O$83=1,'Skatteregler mm'!$D$32,'Skatteregler mm'!$D$38)),IF($O$79=2,(IF($O$83=1,'Uträkningar mm'!J65,('Uträkningar mm'!J65/2)))))</f>
        <v>0</v>
      </c>
      <c r="F65" s="17">
        <f ca="1">IF($O$79=1,(IF($O$83=1,'Skatteregler mm'!#REF!,'Skatteregler mm'!#REF!)),0)</f>
        <v>0</v>
      </c>
      <c r="G65" s="17" t="e">
        <f>'Skatteregler mm'!#REF!</f>
        <v>#REF!</v>
      </c>
      <c r="H65" s="17" t="b">
        <v>0</v>
      </c>
      <c r="I65">
        <f>IF(D65,4,0)</f>
        <v>0</v>
      </c>
      <c r="J65" s="17" t="e">
        <f>$K$6*'Skatteregler mm'!$E$32</f>
        <v>#VALUE!</v>
      </c>
      <c r="M65" s="3" t="s">
        <v>185</v>
      </c>
      <c r="O65" s="1">
        <f ca="1">IF(R31-R26&gt;5,1,IF(R31-R26=5,IF(T31&gt;TIMEVALUE("19:00:59"),1,0.5),0))</f>
        <v>0</v>
      </c>
      <c r="Q65" s="1"/>
    </row>
    <row r="66" spans="1:17" x14ac:dyDescent="0.25">
      <c r="A66" s="11" t="s">
        <v>170</v>
      </c>
      <c r="B66" s="146">
        <f ca="1">K15</f>
        <v>0</v>
      </c>
      <c r="C66" s="146"/>
      <c r="D66">
        <f ca="1">IF($O$79=1,IF($O$83=1,1,IF($O$83=0.5,10,0)),0)</f>
        <v>0</v>
      </c>
      <c r="E66" s="147">
        <f ca="1">D66*I66</f>
        <v>0</v>
      </c>
      <c r="I66">
        <f>SUM(I63:I65)</f>
        <v>0</v>
      </c>
      <c r="M66" s="3"/>
      <c r="O66" s="1"/>
      <c r="Q66" s="1"/>
    </row>
    <row r="67" spans="1:17" ht="13" thickBot="1" x14ac:dyDescent="0.3">
      <c r="A67" s="16" t="s">
        <v>196</v>
      </c>
      <c r="B67" s="37" t="str">
        <f ca="1">IF(O79=1,B65,IF(O79=2,B66," "))</f>
        <v xml:space="preserve"> </v>
      </c>
      <c r="C67" s="37" t="str">
        <f ca="1">IF(O79=1,C65,IF(O79=2," "," "))</f>
        <v xml:space="preserve"> </v>
      </c>
      <c r="D67" s="148" t="s">
        <v>312</v>
      </c>
      <c r="E67" s="137">
        <f ca="1">-1*IF(E66=0,0,IF(E66=1,'Skatteregler mm'!$D$33,IF(E66=10,'Skatteregler mm'!$D$39,IF(E66=2,'Skatteregler mm'!$D$32,IF(E66=20,'Skatteregler mm'!$D$38,IF(E66=3,'Skatteregler mm'!$D$33+'Skatteregler mm'!$D$32,IF(E66=30,'Skatteregler mm'!$D$39+'Skatteregler mm'!$D$38,IF(E66=4,'Skatteregler mm'!$D$32,IF(E66=40,'Skatteregler mm'!$D$38,IF(E66=5,'Skatteregler mm'!$D$33+'Skatteregler mm'!$D$32,IF(E66=50,'Skatteregler mm'!$D$39+'Skatteregler mm'!$D$38,IF(E66=6,'Skatteregler mm'!$D$31,IF(E66=60,'Skatteregler mm'!$D$37,IF(E66=7,'Skatteregler mm'!$D$30,IF(E66=70,'Skatteregler mm'!$D$36,0)))))))))))))))</f>
        <v>0</v>
      </c>
      <c r="F67" s="136"/>
      <c r="G67" s="138">
        <f ca="1">IF(B67=B65,E67,IF(B67=B66,SUM(Reseräkning!D84:D86),0))</f>
        <v>0</v>
      </c>
      <c r="H67" s="136"/>
      <c r="I67" s="136"/>
      <c r="J67" s="136"/>
      <c r="M67" s="3" t="s">
        <v>180</v>
      </c>
      <c r="O67" s="4">
        <f ca="1">IF($U$32&lt;7,0,IF(O68&gt;=O69,1,2))</f>
        <v>0</v>
      </c>
      <c r="P67" s="9">
        <f>P31+6</f>
        <v>6</v>
      </c>
      <c r="Q67" s="7"/>
    </row>
    <row r="68" spans="1:17" x14ac:dyDescent="0.25">
      <c r="M68" t="s">
        <v>171</v>
      </c>
      <c r="O68" s="5">
        <f ca="1">(IF(P67&lt;$R$28,0.75,(IF(P67&gt;$R$30,0.75,IF((P67=$R$27)*AND($R$28=P67),$V$27,(IF((P67=$R$30)*AND($R$30=$R$29),$V$31,0)))))))</f>
        <v>0.75</v>
      </c>
    </row>
    <row r="69" spans="1:17" x14ac:dyDescent="0.25">
      <c r="M69" s="3" t="s">
        <v>173</v>
      </c>
      <c r="O69" s="5">
        <f ca="1">(IF((P67=$R$27)*AND($R$28=P67),$V$28,(IF((P67=$R$30)*AND($R$30=$R$29),$V$30,(IF((P67&gt;$R$28)*AND(P67&lt;$R$30),0.75,(IF(P67&lt;$R$30,0.75,0))))))))</f>
        <v>0.75</v>
      </c>
    </row>
    <row r="70" spans="1:17" x14ac:dyDescent="0.25">
      <c r="M70" s="3" t="s">
        <v>187</v>
      </c>
      <c r="O70" s="6">
        <f ca="1">IF($R$27=$R$28,($T$28-$T$27),IF($R$28-$R$27=1,(1-$T$27)+$S$29))</f>
        <v>0</v>
      </c>
      <c r="P70" t="s">
        <v>202</v>
      </c>
    </row>
    <row r="71" spans="1:17" x14ac:dyDescent="0.25">
      <c r="M71" s="3" t="s">
        <v>185</v>
      </c>
      <c r="O71" s="1">
        <f ca="1">IF(R31-R26&gt;6,1,IF(R31-R26=6,IF(T31&gt;TIMEVALUE("19:00:59"),1,0.5),0))</f>
        <v>0</v>
      </c>
    </row>
    <row r="72" spans="1:17" x14ac:dyDescent="0.25">
      <c r="M72" s="3"/>
      <c r="O72" s="1"/>
    </row>
    <row r="73" spans="1:17" x14ac:dyDescent="0.25">
      <c r="M73" s="3" t="s">
        <v>219</v>
      </c>
      <c r="O73" s="4">
        <f ca="1">IF($U$32&lt;8,0,IF(O74&gt;=O75,1,2))</f>
        <v>0</v>
      </c>
      <c r="P73" s="9">
        <f>P31+7</f>
        <v>7</v>
      </c>
    </row>
    <row r="74" spans="1:17" x14ac:dyDescent="0.25">
      <c r="M74" t="s">
        <v>171</v>
      </c>
      <c r="O74" s="5">
        <f ca="1">(IF(P73&lt;$R$28,0.75,(IF(P73&gt;$R$30,0.75,IF((P73=$R$27)*AND($R$28=P73),$V$27,(IF((P73=$R$30)*AND($R$30=$R$29),$V$31,0)))))))</f>
        <v>0.75</v>
      </c>
    </row>
    <row r="75" spans="1:17" x14ac:dyDescent="0.25">
      <c r="M75" s="3" t="s">
        <v>173</v>
      </c>
      <c r="O75" s="5">
        <f ca="1">(IF((P73=$R$27)*AND($R$28=P73),$V$28,(IF((P73=$R$30)*AND($R$30=$R$29),$V$30,(IF((P73&gt;$R$28)*AND(P73&lt;$R$30),0.75,(IF(P73&lt;$R$30,0.75,0))))))))</f>
        <v>0.75</v>
      </c>
    </row>
    <row r="76" spans="1:17" x14ac:dyDescent="0.25">
      <c r="M76" s="3" t="s">
        <v>187</v>
      </c>
      <c r="O76" s="6">
        <f ca="1">IF($R$27=$R$28,($T$28-$T$27),IF($R$28-$R$27=1,(1-$T$27)+$S$29))</f>
        <v>0</v>
      </c>
      <c r="P76" t="s">
        <v>202</v>
      </c>
    </row>
    <row r="77" spans="1:17" x14ac:dyDescent="0.25">
      <c r="M77" s="3" t="s">
        <v>185</v>
      </c>
      <c r="O77" s="1">
        <f ca="1">IF(R31-R26&gt;7,1,IF(R31-R26=7,IF(T31&gt;TIMEVALUE("19:00:59"),1,0.5),0))</f>
        <v>0</v>
      </c>
    </row>
    <row r="78" spans="1:17" x14ac:dyDescent="0.25">
      <c r="M78" s="3"/>
      <c r="O78" s="1"/>
    </row>
    <row r="79" spans="1:17" x14ac:dyDescent="0.25">
      <c r="M79" s="3" t="s">
        <v>220</v>
      </c>
      <c r="O79" s="4">
        <f ca="1">IF($U$32&lt;9,0,IF(O80&gt;=O81,1,2))</f>
        <v>0</v>
      </c>
      <c r="P79" s="9">
        <f>P31+8</f>
        <v>8</v>
      </c>
    </row>
    <row r="80" spans="1:17" x14ac:dyDescent="0.25">
      <c r="M80" t="s">
        <v>171</v>
      </c>
      <c r="O80" s="5">
        <f ca="1">(IF(P79&lt;$R$28,0.75,(IF(P79&gt;$R$30,0.75,IF((P79=$R$27)*AND($R$28=P79),$V$27,(IF((P79=$R$30)*AND($R$30=$R$29),$V$31,0)))))))</f>
        <v>0.75</v>
      </c>
    </row>
    <row r="81" spans="13:16" x14ac:dyDescent="0.25">
      <c r="M81" s="3" t="s">
        <v>173</v>
      </c>
      <c r="O81" s="5">
        <f ca="1">(IF((P79=$R$27)*AND($R$28=P79),$V$28,(IF((P79=$R$30)*AND($R$30=$R$29),$V$30,(IF((P79&gt;$R$28)*AND(P79&lt;$R$30),0.75,(IF(P79&lt;$R$30,0.75,0))))))))</f>
        <v>0.75</v>
      </c>
    </row>
    <row r="82" spans="13:16" x14ac:dyDescent="0.25">
      <c r="M82" s="3" t="s">
        <v>187</v>
      </c>
      <c r="O82" s="6">
        <f ca="1">IF($R$27=$R$28,($T$28-$T$27),IF($R$28-$R$27=1,(1-$T$27)+$S$29))</f>
        <v>0</v>
      </c>
      <c r="P82" t="s">
        <v>202</v>
      </c>
    </row>
    <row r="83" spans="13:16" x14ac:dyDescent="0.25">
      <c r="M83" s="3" t="s">
        <v>185</v>
      </c>
      <c r="O83" s="1">
        <f ca="1">IF(R31-R26&gt;8,1,IF(R31-R26=8,IF(T31&gt;TIMEVALUE("19:00:59"),1,0.5),0))</f>
        <v>0</v>
      </c>
    </row>
    <row r="84" spans="13:16" x14ac:dyDescent="0.25">
      <c r="M84" s="3"/>
    </row>
    <row r="85" spans="13:16" x14ac:dyDescent="0.25">
      <c r="M85" s="3"/>
    </row>
    <row r="86" spans="13:16" x14ac:dyDescent="0.25">
      <c r="M86" s="3"/>
    </row>
    <row r="87" spans="13:16" x14ac:dyDescent="0.25">
      <c r="M87" s="3"/>
    </row>
    <row r="88" spans="13:16" x14ac:dyDescent="0.25">
      <c r="M88" s="3"/>
    </row>
    <row r="89" spans="13:16" x14ac:dyDescent="0.25">
      <c r="M89" s="3"/>
    </row>
    <row r="90" spans="13:16" x14ac:dyDescent="0.25">
      <c r="M90" s="3"/>
    </row>
    <row r="91" spans="13:16" x14ac:dyDescent="0.25">
      <c r="M91" s="3"/>
    </row>
    <row r="92" spans="13:16" x14ac:dyDescent="0.25">
      <c r="M92" s="3"/>
    </row>
  </sheetData>
  <phoneticPr fontId="0" type="noConversion"/>
  <pageMargins left="0.75" right="0.75" top="1" bottom="1" header="0.5" footer="0.5"/>
  <pageSetup paperSize="9" orientation="portrait" horizont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10"/>
  <sheetViews>
    <sheetView zoomScaleNormal="100" workbookViewId="0">
      <selection activeCell="F1" sqref="F1"/>
    </sheetView>
  </sheetViews>
  <sheetFormatPr defaultColWidth="26.453125" defaultRowHeight="12.5" x14ac:dyDescent="0.25"/>
  <cols>
    <col min="2" max="3" width="26.453125" customWidth="1"/>
    <col min="4" max="4" width="26.453125" hidden="1" customWidth="1"/>
    <col min="5" max="5" width="0.36328125" hidden="1" customWidth="1"/>
  </cols>
  <sheetData>
    <row r="3" spans="1:6" x14ac:dyDescent="0.25">
      <c r="A3" s="20" t="s">
        <v>54</v>
      </c>
      <c r="B3" s="6" t="str">
        <f>Reseräkning!C93</f>
        <v>Egen bil</v>
      </c>
      <c r="C3" s="20" t="s">
        <v>290</v>
      </c>
    </row>
    <row r="4" spans="1:6" x14ac:dyDescent="0.25">
      <c r="A4" s="20" t="s">
        <v>47</v>
      </c>
      <c r="B4" s="18">
        <f>IF(B3='Skatteregler mm'!B50,'Skatteregler mm'!D50,IF(B3='Skatteregler mm'!B51,'Skatteregler mm'!D51,IF(B3='Skatteregler mm'!B52,'Skatteregler mm'!D52)))</f>
        <v>2.5</v>
      </c>
      <c r="C4" s="18">
        <f>IF(B3='Skatteregler mm'!B50,'Skatteregler mm'!E50,IF(B3='Skatteregler mm'!B51,'Skatteregler mm'!E51,IF(B3='Skatteregler mm'!B52,'Skatteregler mm'!E52)))</f>
        <v>0</v>
      </c>
    </row>
    <row r="5" spans="1:6" x14ac:dyDescent="0.25">
      <c r="A5" s="20" t="s">
        <v>39</v>
      </c>
      <c r="B5" s="18">
        <f>'Uträkning bilersättning'!B4*Reseräkning!E23</f>
        <v>0</v>
      </c>
      <c r="C5" s="18">
        <f>'Uträkning bilersättning'!C4*Reseräkning!E23</f>
        <v>0</v>
      </c>
    </row>
    <row r="7" spans="1:6" x14ac:dyDescent="0.25">
      <c r="F7" t="s">
        <v>226</v>
      </c>
    </row>
    <row r="10" spans="1:6" x14ac:dyDescent="0.25">
      <c r="F10" t="s">
        <v>230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D0A802A5E868458DCF7F5C16D3ADCD" ma:contentTypeVersion="7" ma:contentTypeDescription="Skapa ett nytt dokument." ma:contentTypeScope="" ma:versionID="7a9b597677e9b825a709f39d6a2cabfd">
  <xsd:schema xmlns:xsd="http://www.w3.org/2001/XMLSchema" xmlns:xs="http://www.w3.org/2001/XMLSchema" xmlns:p="http://schemas.microsoft.com/office/2006/metadata/properties" xmlns:ns2="7398f9cf-3efa-4a97-993a-c8ae0005732f" xmlns:ns3="f6b31a5a-2038-42eb-9b72-90ca9a358afe" targetNamespace="http://schemas.microsoft.com/office/2006/metadata/properties" ma:root="true" ma:fieldsID="b5c69715563be61032ab37ed9c3412f6" ns2:_="" ns3:_="">
    <xsd:import namespace="7398f9cf-3efa-4a97-993a-c8ae0005732f"/>
    <xsd:import namespace="f6b31a5a-2038-42eb-9b72-90ca9a358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8f9cf-3efa-4a97-993a-c8ae00057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31a5a-2038-42eb-9b72-90ca9a358a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81194-E6BC-4181-BED2-700DA67D7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8f9cf-3efa-4a97-993a-c8ae0005732f"/>
    <ds:schemaRef ds:uri="f6b31a5a-2038-42eb-9b72-90ca9a358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99F43-AE4E-499E-A8FF-E0E47CDDD37E}">
  <ds:schemaRefs>
    <ds:schemaRef ds:uri="http://schemas.microsoft.com/office/2006/metadata/properties"/>
    <ds:schemaRef ds:uri="f6b31a5a-2038-42eb-9b72-90ca9a358afe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398f9cf-3efa-4a97-993a-c8ae0005732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B70686-0F61-4621-A1B6-AC9B6BF814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3</vt:i4>
      </vt:variant>
    </vt:vector>
  </HeadingPairs>
  <TitlesOfParts>
    <vt:vector size="8" baseType="lpstr">
      <vt:lpstr>Reseräkning</vt:lpstr>
      <vt:lpstr>Skatteregler mm</vt:lpstr>
      <vt:lpstr>Utlandstraktamenten</vt:lpstr>
      <vt:lpstr>Uträkningar mm</vt:lpstr>
      <vt:lpstr>Uträkning bilersättning</vt:lpstr>
      <vt:lpstr>Utlandstraktamenten!Albanien</vt:lpstr>
      <vt:lpstr>Land</vt:lpstr>
      <vt:lpstr>tal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2008-12-28T13:52:48Z</dcterms:created>
  <dcterms:modified xsi:type="dcterms:W3CDTF">2024-05-07T09:26:21Z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0x0101008CD0A802A5E868458DCF7F5C16D3ADCD</vt:lpwstr>
  </property>
</Properties>
</file>